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лютий" sheetId="1" r:id="rId1"/>
    <sheet name="січень 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<sst xmlns="http://schemas.openxmlformats.org/spreadsheetml/2006/main" count="398" uniqueCount="198">
  <si>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</si>
  <si>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</si>
  <si>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</si>
  <si>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</si>
  <si>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</si>
  <si>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</si>
  <si>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</si>
  <si>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</si>
  <si>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</si>
  <si>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</si>
  <si>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</si>
  <si>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</si>
  <si>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</si>
  <si>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</si>
  <si>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</si>
  <si>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</si>
  <si>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</si>
  <si>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</si>
  <si>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</si>
  <si>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</si>
  <si>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</si>
  <si>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</si>
  <si>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</si>
  <si>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</si>
  <si>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</si>
  <si>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</si>
  <si>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</si>
  <si>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</si>
  <si>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</si>
  <si>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</si>
  <si>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</si>
  <si>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</si>
  <si>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</si>
  <si>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</si>
  <si>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</si>
  <si>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</si>
  <si>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</si>
  <si>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</si>
  <si>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</si>
  <si>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</si>
  <si>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</si>
  <si>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</si>
  <si>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</si>
  <si>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</si>
  <si>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</si>
  <si>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</si>
  <si>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</si>
  <si>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</si>
  <si>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</si>
  <si>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</si>
  <si>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</si>
  <si>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</si>
  <si>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</si>
  <si>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</si>
  <si>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</si>
  <si>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</si>
  <si>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</si>
  <si>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</si>
  <si>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</si>
  <si>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</si>
  <si>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</si>
  <si>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</si>
  <si>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</si>
  <si>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</si>
  <si>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</si>
  <si>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</si>
  <si>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</si>
  <si>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</si>
  <si>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</si>
  <si>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</si>
  <si>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</si>
  <si>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</si>
  <si>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</si>
  <si>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</si>
  <si>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</si>
  <si>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</si>
  <si>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</si>
  <si>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</si>
  <si>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</si>
  <si>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</si>
  <si>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</si>
  <si>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</si>
  <si>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</si>
  <si>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</si>
  <si>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</si>
  <si>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</si>
  <si>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</si>
  <si>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</si>
  <si>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</si>
  <si>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</si>
  <si>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</si>
  <si>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</si>
  <si>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</si>
  <si>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</si>
  <si>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</si>
  <si>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</si>
  <si>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</si>
  <si>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</si>
  <si>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</si>
  <si>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</si>
  <si>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</si>
  <si>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</si>
  <si>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</si>
  <si>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</si>
  <si>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</si>
  <si>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</si>
  <si>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</si>
  <si>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</si>
  <si>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</si>
  <si>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</si>
  <si>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</si>
  <si>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</si>
  <si>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</si>
  <si>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</si>
  <si>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</si>
  <si>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</si>
  <si>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</si>
  <si>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</si>
  <si>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</si>
  <si>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</si>
  <si>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</si>
  <si>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</si>
  <si>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</si>
  <si>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</si>
  <si>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</si>
  <si>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</si>
  <si>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</si>
  <si>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</si>
  <si>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</si>
  <si>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</si>
  <si>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</si>
  <si>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</si>
  <si>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</si>
  <si>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</si>
  <si>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</si>
  <si>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</si>
  <si>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</si>
  <si>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</si>
  <si>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</si>
  <si>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</si>
  <si>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</si>
  <si>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</si>
  <si>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</si>
  <si>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</si>
  <si>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</si>
  <si>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</si>
  <si>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</si>
  <si>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</si>
  <si>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</si>
  <si>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</si>
  <si>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</si>
  <si>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</si>
  <si>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</si>
  <si>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</si>
  <si>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</si>
  <si>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</si>
  <si>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</si>
  <si>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</si>
  <si>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</si>
  <si>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</si>
  <si>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</si>
  <si>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</si>
  <si>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</si>
  <si>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</si>
  <si>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</si>
  <si>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</si>
  <si>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</si>
  <si>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</si>
  <si>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</si>
  <si>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</si>
  <si>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</si>
  <si>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</si>
  <si>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</si>
  <si>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</si>
  <si>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</si>
  <si>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</si>
  <si>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</si>
  <si>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Відхилення (+,-) до  плану на І півріччя</t>
  </si>
  <si>
    <t>% виконання  плану на І півріччя</t>
  </si>
  <si>
    <t>Динаміка  фактичних надходжень січень- 2013 та 2014 років</t>
  </si>
  <si>
    <t>Виконано у січні</t>
  </si>
  <si>
    <t xml:space="preserve">Тимчасовий план на січень  місяць  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</si>
  <si>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</si>
  <si>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</si>
  <si>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</si>
  <si>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</si>
  <si>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</si>
  <si>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</si>
  <si>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</si>
  <si>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</si>
  <si>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Тимчасовий план на І півріччя 2014 року </t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</si>
  <si>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</si>
  <si>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</si>
  <si>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</si>
  <si>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</si>
  <si>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План тимчасовий   на січень-лютий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</si>
  <si>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25.02.14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</si>
  <si>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27.02.2014</t>
    </r>
    <r>
      <rPr>
        <b/>
        <sz val="16"/>
        <rFont val="Times New Roman"/>
        <family val="1"/>
      </rPr>
      <t>р.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</si>
</sst>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4" fillId="0" borderId="0" xfId="20" applyFont="1" applyFill="1" applyBorder="1" applyAlignment="1" applyProtection="1">
      <alignment horizontal="center" wrapText="1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7" fillId="0" borderId="0" xfId="20" applyNumberFormat="1" applyFont="1" applyFill="1" applyBorder="1" applyAlignment="1" applyProtection="1">
      <alignment horizontal="center" wrapText="1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5011-02"/>
      <sheetName val="5011"/>
      <sheetName val="2111"/>
      <sheetName val="240603-2"/>
      <sheetName val="240603"/>
      <sheetName val="210805"/>
      <sheetName val="2105"/>
      <sheetName val="210804-2"/>
      <sheetName val="210804"/>
      <sheetName val="5250-сф"/>
      <sheetName val="очік-02"/>
      <sheetName val="депозит"/>
      <sheetName val="залишки  (2)"/>
      <sheetName val="надх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</sheetNames>
    <sheetDataSet>
      <sheetData sheetId="16">
        <row r="6">
          <cell r="G6">
            <v>121499539.86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107674317.9</v>
          </cell>
        </row>
      </sheetData>
      <sheetData sheetId="18">
        <row r="28">
          <cell r="C28">
            <v>3054313</v>
          </cell>
        </row>
      </sheetData>
      <sheetData sheetId="19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J88" sqref="J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0.875" style="131" hidden="1" customWidth="1"/>
    <col min="19" max="16384" width="9.125" style="4" customWidth="1"/>
  </cols>
  <sheetData>
    <row r="1" spans="1:18" s="1" customFormat="1" ht="26.25" customHeight="1">
      <c r="A1" s="153" t="s">
        <v>197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26"/>
      <c r="R1" s="128"/>
    </row>
    <row r="2" spans="2:18" s="1" customFormat="1" ht="15.75" customHeight="1">
      <c r="B2" s="154"/>
      <c r="C2" s="154"/>
      <c r="D2" s="154"/>
      <c r="E2" s="2"/>
      <c r="F2" s="2"/>
      <c r="G2" s="2"/>
      <c r="H2" s="2"/>
      <c r="P2" s="24" t="s">
        <v>104</v>
      </c>
      <c r="Q2" s="24"/>
      <c r="R2" s="129"/>
    </row>
    <row r="3" spans="1:18" s="3" customFormat="1" ht="13.5" customHeight="1">
      <c r="A3" s="155"/>
      <c r="B3" s="157"/>
      <c r="C3" s="158" t="s">
        <v>0</v>
      </c>
      <c r="D3" s="159" t="s">
        <v>191</v>
      </c>
      <c r="E3" s="46"/>
      <c r="F3" s="160" t="s">
        <v>107</v>
      </c>
      <c r="G3" s="161"/>
      <c r="H3" s="161"/>
      <c r="I3" s="161"/>
      <c r="J3" s="162"/>
      <c r="K3" s="123"/>
      <c r="L3" s="123"/>
      <c r="M3" s="163" t="s">
        <v>194</v>
      </c>
      <c r="N3" s="152" t="s">
        <v>188</v>
      </c>
      <c r="O3" s="152"/>
      <c r="P3" s="152"/>
      <c r="Q3" s="127"/>
      <c r="R3" s="130"/>
    </row>
    <row r="4" spans="1:18" ht="22.5" customHeight="1">
      <c r="A4" s="155"/>
      <c r="B4" s="157"/>
      <c r="C4" s="158"/>
      <c r="D4" s="159"/>
      <c r="E4" s="164" t="s">
        <v>195</v>
      </c>
      <c r="F4" s="168" t="s">
        <v>116</v>
      </c>
      <c r="G4" s="170" t="s">
        <v>167</v>
      </c>
      <c r="H4" s="172" t="s">
        <v>168</v>
      </c>
      <c r="I4" s="174" t="s">
        <v>192</v>
      </c>
      <c r="J4" s="180" t="s">
        <v>193</v>
      </c>
      <c r="K4" s="125" t="s">
        <v>174</v>
      </c>
      <c r="L4" s="132" t="s">
        <v>173</v>
      </c>
      <c r="M4" s="163"/>
      <c r="N4" s="182" t="s">
        <v>196</v>
      </c>
      <c r="O4" s="174" t="s">
        <v>136</v>
      </c>
      <c r="P4" s="152" t="s">
        <v>135</v>
      </c>
      <c r="Q4" s="133" t="s">
        <v>174</v>
      </c>
      <c r="R4" s="134" t="s">
        <v>173</v>
      </c>
    </row>
    <row r="5" spans="1:18" ht="82.5" customHeight="1">
      <c r="A5" s="156"/>
      <c r="B5" s="157"/>
      <c r="C5" s="158"/>
      <c r="D5" s="159"/>
      <c r="E5" s="165"/>
      <c r="F5" s="169"/>
      <c r="G5" s="171"/>
      <c r="H5" s="173"/>
      <c r="I5" s="175"/>
      <c r="J5" s="181"/>
      <c r="K5" s="166" t="s">
        <v>187</v>
      </c>
      <c r="L5" s="167"/>
      <c r="M5" s="163"/>
      <c r="N5" s="183"/>
      <c r="O5" s="175"/>
      <c r="P5" s="152"/>
      <c r="Q5" s="166" t="s">
        <v>182</v>
      </c>
      <c r="R5" s="16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/>
      <c r="F6" s="10" t="s">
        <v>5</v>
      </c>
      <c r="G6" s="10"/>
      <c r="H6" s="10"/>
      <c r="I6" s="10" t="s">
        <v>6</v>
      </c>
      <c r="J6" s="10" t="s">
        <v>7</v>
      </c>
      <c r="K6" s="10"/>
      <c r="L6" s="10"/>
      <c r="M6" s="10" t="s">
        <v>122</v>
      </c>
      <c r="N6" s="10" t="s">
        <v>170</v>
      </c>
      <c r="O6" s="10" t="s">
        <v>8</v>
      </c>
      <c r="P6" s="10" t="s">
        <v>105</v>
      </c>
      <c r="Q6" s="10"/>
      <c r="R6" s="135"/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5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</f>
        <v>70030</v>
      </c>
      <c r="F8" s="22">
        <f>F10+F19+F33+F56+F68+F30</f>
        <v>61898.75000000001</v>
      </c>
      <c r="G8" s="22">
        <f aca="true" t="shared" si="0" ref="G8:G30">F8-E8</f>
        <v>-8131.249999999993</v>
      </c>
      <c r="H8" s="51">
        <f>F8/E8*100</f>
        <v>88.38890475510497</v>
      </c>
      <c r="I8" s="36">
        <f aca="true" t="shared" si="1" ref="I8:I17">F8-D8</f>
        <v>-457430.55</v>
      </c>
      <c r="J8" s="36">
        <f aca="true" t="shared" si="2" ref="J8:J14">F8/D8*100</f>
        <v>11.918978959977803</v>
      </c>
      <c r="K8" s="36">
        <f>F8-72579.4</f>
        <v>-10680.649999999987</v>
      </c>
      <c r="L8" s="138">
        <f>F8/72579.4</f>
        <v>0.8528418531980151</v>
      </c>
      <c r="M8" s="22">
        <f>M10+M19+M33+M56+M68+M30</f>
        <v>35825</v>
      </c>
      <c r="N8" s="22">
        <f>N10+N19+N33+N56+N68+N30</f>
        <v>28150.590000000004</v>
      </c>
      <c r="O8" s="36">
        <f aca="true" t="shared" si="3" ref="O8:O71">N8-M8</f>
        <v>-7674.409999999996</v>
      </c>
      <c r="P8" s="36">
        <f>F8/M8*100</f>
        <v>172.78087927424986</v>
      </c>
      <c r="Q8" s="36">
        <f>N8-38977.9</f>
        <v>-10827.309999999998</v>
      </c>
      <c r="R8" s="136">
        <f>N8/31977.9</f>
        <v>0.8803139042901504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50447.55</v>
      </c>
      <c r="G9" s="22">
        <f t="shared" si="0"/>
        <v>50447.55</v>
      </c>
      <c r="H9" s="20"/>
      <c r="I9" s="56">
        <f t="shared" si="1"/>
        <v>-367918.65</v>
      </c>
      <c r="J9" s="56">
        <f t="shared" si="2"/>
        <v>12.05822793523951</v>
      </c>
      <c r="K9" s="56"/>
      <c r="L9" s="137"/>
      <c r="M9" s="20">
        <f>M10+M17</f>
        <v>28750</v>
      </c>
      <c r="N9" s="20">
        <f>N10+N17</f>
        <v>23879.440000000002</v>
      </c>
      <c r="O9" s="36">
        <f t="shared" si="3"/>
        <v>-4870.559999999998</v>
      </c>
      <c r="P9" s="56">
        <f>F9/M9*100</f>
        <v>175.4697391304348</v>
      </c>
      <c r="Q9" s="56"/>
      <c r="R9" s="137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55900</v>
      </c>
      <c r="F10" s="40">
        <v>50447.55</v>
      </c>
      <c r="G10" s="49">
        <f t="shared" si="0"/>
        <v>-5452.449999999997</v>
      </c>
      <c r="H10" s="40">
        <f aca="true" t="shared" si="4" ref="H10:H17">F10/E10*100</f>
        <v>90.24606440071557</v>
      </c>
      <c r="I10" s="56">
        <f t="shared" si="1"/>
        <v>-367918.65</v>
      </c>
      <c r="J10" s="56">
        <f t="shared" si="2"/>
        <v>12.05822793523951</v>
      </c>
      <c r="K10" s="56">
        <f>F10-55122.8</f>
        <v>-4675.25</v>
      </c>
      <c r="L10" s="137">
        <f>F10/55122.8</f>
        <v>0.9151848237027147</v>
      </c>
      <c r="M10" s="40">
        <f>E10-'січень '!E10</f>
        <v>28750</v>
      </c>
      <c r="N10" s="40">
        <f>F10-'січень '!F10</f>
        <v>23879.440000000002</v>
      </c>
      <c r="O10" s="53">
        <f t="shared" si="3"/>
        <v>-4870.559999999998</v>
      </c>
      <c r="P10" s="56">
        <f aca="true" t="shared" si="5" ref="P10:P17">N10/M10*100</f>
        <v>83.05892173913044</v>
      </c>
      <c r="Q10" s="143">
        <f>N10-28390.4</f>
        <v>-4510.959999999999</v>
      </c>
      <c r="R10" s="144">
        <f>N10/28390.4</f>
        <v>0.8411096708746619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7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7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7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7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7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7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7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7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7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7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7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7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7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7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7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7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200</v>
      </c>
      <c r="F19" s="40">
        <v>414.83</v>
      </c>
      <c r="G19" s="49">
        <f t="shared" si="0"/>
        <v>214.82999999999998</v>
      </c>
      <c r="H19" s="40">
        <f aca="true" t="shared" si="6" ref="H19:H28">F19/E19*100</f>
        <v>207.415</v>
      </c>
      <c r="I19" s="56">
        <f aca="true" t="shared" si="7" ref="I19:I29">F19-D19</f>
        <v>-5585.17</v>
      </c>
      <c r="J19" s="56">
        <f aca="true" t="shared" si="8" ref="J19:J29">F19/D19*100</f>
        <v>6.913833333333333</v>
      </c>
      <c r="K19" s="56">
        <f>F19-3876</f>
        <v>-3461.17</v>
      </c>
      <c r="L19" s="137">
        <f>F19/3876</f>
        <v>0.10702528379772962</v>
      </c>
      <c r="M19" s="40">
        <f>E19-'січень '!E19</f>
        <v>100</v>
      </c>
      <c r="N19" s="40">
        <f>F19-'січень '!F19</f>
        <v>56.01999999999998</v>
      </c>
      <c r="O19" s="53">
        <f t="shared" si="3"/>
        <v>-43.98000000000002</v>
      </c>
      <c r="P19" s="56">
        <f aca="true" t="shared" si="9" ref="P19:P28">N19/M19*100</f>
        <v>56.01999999999998</v>
      </c>
      <c r="Q19" s="56">
        <f>N19-3681.4</f>
        <v>-3625.38</v>
      </c>
      <c r="R19" s="137">
        <f>N19/3681.4</f>
        <v>0.015217036996794692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7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7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7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7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7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7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7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7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7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7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7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7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7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7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7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7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7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7">
        <f t="shared" si="13"/>
        <v>0</v>
      </c>
    </row>
    <row r="29" spans="1:18" s="6" customFormat="1" ht="15.75">
      <c r="A29" s="8"/>
      <c r="B29" s="76" t="s">
        <v>184</v>
      </c>
      <c r="C29" s="145">
        <v>11010232</v>
      </c>
      <c r="D29" s="146">
        <v>3000</v>
      </c>
      <c r="E29" s="41"/>
      <c r="F29" s="148">
        <v>397.98</v>
      </c>
      <c r="G29" s="49"/>
      <c r="H29" s="40"/>
      <c r="I29" s="56">
        <f t="shared" si="7"/>
        <v>-2602.02</v>
      </c>
      <c r="J29" s="56">
        <f t="shared" si="8"/>
        <v>13.266</v>
      </c>
      <c r="K29" s="150">
        <f>F29-322.6</f>
        <v>75.38</v>
      </c>
      <c r="L29" s="151">
        <f>F29/322.6</f>
        <v>1.2336639801611904</v>
      </c>
      <c r="M29" s="148">
        <f>E29-'січень '!E29</f>
        <v>0</v>
      </c>
      <c r="N29" s="148">
        <f>F29-'січень '!F29</f>
        <v>39.19</v>
      </c>
      <c r="O29" s="150"/>
      <c r="P29" s="56"/>
      <c r="Q29" s="56">
        <f>N29-162.6</f>
        <v>-123.41</v>
      </c>
      <c r="R29" s="137">
        <f>N29/162.6</f>
        <v>0.24102091020910207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2.91</v>
      </c>
      <c r="G30" s="49">
        <f t="shared" si="0"/>
        <v>2.91</v>
      </c>
      <c r="H30" s="40"/>
      <c r="I30" s="56"/>
      <c r="J30" s="56"/>
      <c r="K30" s="56">
        <f>F30-25.1</f>
        <v>-22.19</v>
      </c>
      <c r="L30" s="137"/>
      <c r="M30" s="40">
        <f>E30-'січень '!E30</f>
        <v>0</v>
      </c>
      <c r="N30" s="40">
        <f>F30-'січень '!F30</f>
        <v>2.91</v>
      </c>
      <c r="O30" s="53">
        <f t="shared" si="3"/>
        <v>2.91</v>
      </c>
      <c r="P30" s="56"/>
      <c r="Q30" s="56">
        <f>N30-25.1</f>
        <v>-22.19</v>
      </c>
      <c r="R30" s="137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7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7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7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7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12800</v>
      </c>
      <c r="F33" s="40">
        <v>9972.13</v>
      </c>
      <c r="G33" s="49">
        <f aca="true" t="shared" si="14" ref="G33:G72">F33-E33</f>
        <v>-2827.870000000001</v>
      </c>
      <c r="H33" s="40">
        <f aca="true" t="shared" si="15" ref="H33:H67">F33/E33*100</f>
        <v>77.907265625</v>
      </c>
      <c r="I33" s="56">
        <f>F33-D33</f>
        <v>-78093.87</v>
      </c>
      <c r="J33" s="56">
        <f aca="true" t="shared" si="16" ref="J33:J72">F33/D33*100</f>
        <v>11.323473304112824</v>
      </c>
      <c r="K33" s="56">
        <f>F33-12535.7</f>
        <v>-2563.5700000000015</v>
      </c>
      <c r="L33" s="137">
        <f>F33/12535.7</f>
        <v>0.7954984564084973</v>
      </c>
      <c r="M33" s="40">
        <f>E33-'січень '!E33</f>
        <v>6400</v>
      </c>
      <c r="N33" s="40">
        <f>F33-'січень '!F33</f>
        <v>3678.8399999999992</v>
      </c>
      <c r="O33" s="53">
        <f t="shared" si="3"/>
        <v>-2721.1600000000008</v>
      </c>
      <c r="P33" s="56">
        <f aca="true" t="shared" si="17" ref="P33:P67">N33/M33*100</f>
        <v>57.481874999999995</v>
      </c>
      <c r="Q33" s="143">
        <f>N33-6362.9</f>
        <v>-2684.0600000000004</v>
      </c>
      <c r="R33" s="144">
        <f>N33/6362.9</f>
        <v>0.5781703311383174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7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3">
        <f aca="true" t="shared" si="21" ref="Q34:Q54">N34-6362.9</f>
        <v>-6362.9</v>
      </c>
      <c r="R34" s="144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7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3">
        <f t="shared" si="21"/>
        <v>-6362.9</v>
      </c>
      <c r="R35" s="144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7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3">
        <f t="shared" si="21"/>
        <v>-6362.9</v>
      </c>
      <c r="R36" s="144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7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3">
        <f t="shared" si="21"/>
        <v>-6362.9</v>
      </c>
      <c r="R37" s="144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7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3">
        <f t="shared" si="21"/>
        <v>-6362.9</v>
      </c>
      <c r="R38" s="144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7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3">
        <f t="shared" si="21"/>
        <v>-6362.9</v>
      </c>
      <c r="R39" s="144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7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3">
        <f t="shared" si="21"/>
        <v>-6362.9</v>
      </c>
      <c r="R40" s="144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7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3">
        <f t="shared" si="21"/>
        <v>-6362.9</v>
      </c>
      <c r="R41" s="144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7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3">
        <f t="shared" si="21"/>
        <v>-6362.9</v>
      </c>
      <c r="R42" s="144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7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3">
        <f t="shared" si="21"/>
        <v>-6362.9</v>
      </c>
      <c r="R43" s="144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7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3">
        <f t="shared" si="21"/>
        <v>-6362.9</v>
      </c>
      <c r="R44" s="144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7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3">
        <f t="shared" si="21"/>
        <v>-6362.9</v>
      </c>
      <c r="R45" s="144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7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3">
        <f t="shared" si="21"/>
        <v>-6362.9</v>
      </c>
      <c r="R46" s="144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7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3">
        <f t="shared" si="21"/>
        <v>-6362.9</v>
      </c>
      <c r="R47" s="144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7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3">
        <f t="shared" si="21"/>
        <v>-6362.9</v>
      </c>
      <c r="R48" s="144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7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3">
        <f t="shared" si="21"/>
        <v>-6362.9</v>
      </c>
      <c r="R49" s="144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7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3">
        <f t="shared" si="21"/>
        <v>-6362.9</v>
      </c>
      <c r="R50" s="144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7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3">
        <f t="shared" si="21"/>
        <v>-6362.9</v>
      </c>
      <c r="R51" s="144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7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3">
        <f t="shared" si="21"/>
        <v>-6362.9</v>
      </c>
      <c r="R52" s="144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7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3">
        <f t="shared" si="21"/>
        <v>-6362.9</v>
      </c>
      <c r="R53" s="144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7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3">
        <f t="shared" si="21"/>
        <v>-6362.9</v>
      </c>
      <c r="R54" s="144">
        <f t="shared" si="22"/>
        <v>0</v>
      </c>
    </row>
    <row r="55" spans="1:18" s="6" customFormat="1" ht="15.75">
      <c r="A55" s="8"/>
      <c r="B55" s="76" t="s">
        <v>185</v>
      </c>
      <c r="C55" s="65"/>
      <c r="D55" s="146">
        <f>56066+10200</f>
        <v>66266</v>
      </c>
      <c r="E55" s="146">
        <v>9500</v>
      </c>
      <c r="F55" s="148">
        <v>7654</v>
      </c>
      <c r="G55" s="146">
        <f t="shared" si="14"/>
        <v>-1846</v>
      </c>
      <c r="H55" s="148">
        <f t="shared" si="15"/>
        <v>80.56842105263158</v>
      </c>
      <c r="I55" s="147">
        <f t="shared" si="18"/>
        <v>-58612</v>
      </c>
      <c r="J55" s="147">
        <f t="shared" si="16"/>
        <v>11.550418012253644</v>
      </c>
      <c r="K55" s="150">
        <f>F55-9287.5</f>
        <v>-1633.5</v>
      </c>
      <c r="L55" s="151">
        <f>F55/9287.5</f>
        <v>0.8241184387617766</v>
      </c>
      <c r="M55" s="148">
        <f>E55-'січень '!E55</f>
        <v>4750</v>
      </c>
      <c r="N55" s="148">
        <f>F55-'січень '!F55</f>
        <v>2966.09</v>
      </c>
      <c r="O55" s="150">
        <f t="shared" si="3"/>
        <v>-1783.9099999999999</v>
      </c>
      <c r="P55" s="60">
        <f t="shared" si="17"/>
        <v>62.444</v>
      </c>
      <c r="Q55" s="143">
        <f>N55-4413.4</f>
        <v>-1447.3099999999995</v>
      </c>
      <c r="R55" s="144">
        <f>N55/4413.4</f>
        <v>0.6720646213803417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1130</v>
      </c>
      <c r="F56" s="40">
        <v>1060.55</v>
      </c>
      <c r="G56" s="49">
        <f t="shared" si="14"/>
        <v>-69.45000000000005</v>
      </c>
      <c r="H56" s="40">
        <f t="shared" si="15"/>
        <v>93.85398230088495</v>
      </c>
      <c r="I56" s="56">
        <f t="shared" si="18"/>
        <v>-5799.45</v>
      </c>
      <c r="J56" s="56">
        <f t="shared" si="16"/>
        <v>15.459912536443149</v>
      </c>
      <c r="K56" s="56">
        <f>F56-1019.7</f>
        <v>40.84999999999991</v>
      </c>
      <c r="L56" s="137">
        <f>F56/1019.7</f>
        <v>1.0400608021967244</v>
      </c>
      <c r="M56" s="40">
        <f>E56-'січень '!E56</f>
        <v>575</v>
      </c>
      <c r="N56" s="40">
        <f>F56-'січень '!F56</f>
        <v>532.75</v>
      </c>
      <c r="O56" s="53">
        <f t="shared" si="3"/>
        <v>-42.25</v>
      </c>
      <c r="P56" s="56">
        <f t="shared" si="17"/>
        <v>92.65217391304348</v>
      </c>
      <c r="Q56" s="56">
        <f>N56-518.3</f>
        <v>14.450000000000045</v>
      </c>
      <c r="R56" s="137">
        <f>N56/518.3</f>
        <v>1.0278796064055566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7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7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7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7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7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7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7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7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7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7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7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7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7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7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7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7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7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7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7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7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7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7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</v>
      </c>
      <c r="F68" s="40">
        <v>0.78</v>
      </c>
      <c r="G68" s="49">
        <f t="shared" si="14"/>
        <v>0.78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7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7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7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7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7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7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7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7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7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7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7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7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2512.1</v>
      </c>
      <c r="F74" s="22">
        <f>F77+F86+F88+F89+F94+F95+F96+F97+F99+F103+F87</f>
        <v>2045.62</v>
      </c>
      <c r="G74" s="50">
        <f aca="true" t="shared" si="24" ref="G74:G92">F74-E74</f>
        <v>-466.48</v>
      </c>
      <c r="H74" s="51">
        <f aca="true" t="shared" si="25" ref="H74:H86">F74/E74*100</f>
        <v>81.43067553043271</v>
      </c>
      <c r="I74" s="36">
        <f aca="true" t="shared" si="26" ref="I74:I92">F74-D74</f>
        <v>-15619.98</v>
      </c>
      <c r="J74" s="36">
        <f aca="true" t="shared" si="27" ref="J74:J92">F74/D74*100</f>
        <v>11.5796802825831</v>
      </c>
      <c r="K74" s="36">
        <f>F74-2710.3</f>
        <v>-664.6800000000003</v>
      </c>
      <c r="L74" s="138">
        <f>F74/2710.3</f>
        <v>0.7547577758919676</v>
      </c>
      <c r="M74" s="22">
        <f>M77+M86+M88+M89+M94+M95+M96+M97+M99+M87</f>
        <v>1456</v>
      </c>
      <c r="N74" s="22">
        <f>N77+N86+N88+N89+N94+N95+N96+N97+N99+N32+N103+N87</f>
        <v>1027.99</v>
      </c>
      <c r="O74" s="55">
        <f aca="true" t="shared" si="28" ref="O74:O92">N74-M74</f>
        <v>-428.01</v>
      </c>
      <c r="P74" s="36">
        <f>N74/M74*100</f>
        <v>70.6037087912088</v>
      </c>
      <c r="Q74" s="36">
        <f>N74-1790.3</f>
        <v>-762.31</v>
      </c>
      <c r="R74" s="138">
        <f>N74/1790.3</f>
        <v>0.5741998547729431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7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7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7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7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301</v>
      </c>
      <c r="F77" s="57">
        <v>15.87</v>
      </c>
      <c r="G77" s="49">
        <f t="shared" si="24"/>
        <v>-285.13</v>
      </c>
      <c r="H77" s="40">
        <f t="shared" si="25"/>
        <v>5.2724252491694354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7">
        <f>F77/1273.9</f>
        <v>0.012457806735222543</v>
      </c>
      <c r="M77" s="40">
        <f>E77-'січень '!E77</f>
        <v>300</v>
      </c>
      <c r="N77" s="40">
        <f>F77-'січень '!F77</f>
        <v>15.87</v>
      </c>
      <c r="O77" s="53">
        <f t="shared" si="28"/>
        <v>-284.13</v>
      </c>
      <c r="P77" s="56">
        <f aca="true" t="shared" si="29" ref="P77:P86">N77/M77*100</f>
        <v>5.289999999999999</v>
      </c>
      <c r="Q77" s="56">
        <f>N77-1273</f>
        <v>-1257.13</v>
      </c>
      <c r="R77" s="137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7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7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7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7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7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7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7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7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7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7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7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7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7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7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7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7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100</v>
      </c>
      <c r="F86" s="57">
        <v>0</v>
      </c>
      <c r="G86" s="49">
        <f t="shared" si="24"/>
        <v>-100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7" t="e">
        <f>F86/0*100</f>
        <v>#DIV/0!</v>
      </c>
      <c r="M86" s="40">
        <f>E86-'січень '!E86</f>
        <v>100</v>
      </c>
      <c r="N86" s="40">
        <f>F86-'січень '!F86</f>
        <v>0</v>
      </c>
      <c r="O86" s="53">
        <f t="shared" si="28"/>
        <v>-100</v>
      </c>
      <c r="P86" s="56">
        <f t="shared" si="29"/>
        <v>0</v>
      </c>
      <c r="Q86" s="56">
        <f>N86-0</f>
        <v>0</v>
      </c>
      <c r="R86" s="137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76.28</v>
      </c>
      <c r="G87" s="49"/>
      <c r="H87" s="40"/>
      <c r="I87" s="56"/>
      <c r="J87" s="56"/>
      <c r="K87" s="56"/>
      <c r="L87" s="137"/>
      <c r="M87" s="40">
        <f>E87-'січень '!E87</f>
        <v>0</v>
      </c>
      <c r="N87" s="40">
        <f>F87-'січень '!F87</f>
        <v>72.05</v>
      </c>
      <c r="O87" s="53"/>
      <c r="P87" s="56"/>
      <c r="Q87" s="56"/>
      <c r="R87" s="137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1.1</v>
      </c>
      <c r="F88" s="57">
        <v>3.4</v>
      </c>
      <c r="G88" s="49">
        <f t="shared" si="24"/>
        <v>2.3</v>
      </c>
      <c r="H88" s="40">
        <f>F88/E88*100</f>
        <v>309.09090909090907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7" t="e">
        <f>F88/0*100</f>
        <v>#DIV/0!</v>
      </c>
      <c r="M88" s="40">
        <f>E88-'січень '!E88</f>
        <v>1</v>
      </c>
      <c r="N88" s="40">
        <f>F88-'січень '!F88</f>
        <v>3.4</v>
      </c>
      <c r="O88" s="53">
        <f t="shared" si="28"/>
        <v>2.4</v>
      </c>
      <c r="P88" s="56">
        <f>N88/M88*100</f>
        <v>340</v>
      </c>
      <c r="Q88" s="56">
        <f>N88-0</f>
        <v>3.4</v>
      </c>
      <c r="R88" s="137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20</v>
      </c>
      <c r="F89" s="57">
        <v>18.5</v>
      </c>
      <c r="G89" s="49">
        <f t="shared" si="24"/>
        <v>-1.5</v>
      </c>
      <c r="H89" s="40">
        <f>F89/E89*100</f>
        <v>92.5</v>
      </c>
      <c r="I89" s="56">
        <f t="shared" si="26"/>
        <v>-156.5</v>
      </c>
      <c r="J89" s="56">
        <f t="shared" si="27"/>
        <v>10.571428571428571</v>
      </c>
      <c r="K89" s="56">
        <f>F89-31.6</f>
        <v>-13.100000000000001</v>
      </c>
      <c r="L89" s="137">
        <f>F89/31.6</f>
        <v>0.5854430379746836</v>
      </c>
      <c r="M89" s="40">
        <f>E89-'січень '!E89</f>
        <v>10</v>
      </c>
      <c r="N89" s="40">
        <f>F89-'січень '!F89</f>
        <v>9.48</v>
      </c>
      <c r="O89" s="53">
        <f t="shared" si="28"/>
        <v>-0.5199999999999996</v>
      </c>
      <c r="P89" s="56">
        <f>N89/M89*100</f>
        <v>94.80000000000001</v>
      </c>
      <c r="Q89" s="56">
        <f>N89-19.8</f>
        <v>-10.32</v>
      </c>
      <c r="R89" s="137">
        <f>N89/19.8</f>
        <v>0.4787878787878788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7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7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7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7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7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7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7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7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7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7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1260</v>
      </c>
      <c r="F95" s="57">
        <v>1174.8</v>
      </c>
      <c r="G95" s="49">
        <f t="shared" si="31"/>
        <v>-85.20000000000005</v>
      </c>
      <c r="H95" s="40">
        <f>F95/E95*100</f>
        <v>93.23809523809523</v>
      </c>
      <c r="I95" s="56">
        <f t="shared" si="32"/>
        <v>-5125.2</v>
      </c>
      <c r="J95" s="56">
        <f>F95/D95*100</f>
        <v>18.647619047619045</v>
      </c>
      <c r="K95" s="56">
        <f>F95-825</f>
        <v>349.79999999999995</v>
      </c>
      <c r="L95" s="137">
        <f>F95/825</f>
        <v>1.424</v>
      </c>
      <c r="M95" s="40">
        <f>E95-'січень '!E95</f>
        <v>630</v>
      </c>
      <c r="N95" s="40">
        <f>F95-'січень '!F95</f>
        <v>527.31</v>
      </c>
      <c r="O95" s="53">
        <f t="shared" si="33"/>
        <v>-102.69000000000005</v>
      </c>
      <c r="P95" s="56">
        <f>N95/M95*100</f>
        <v>83.7</v>
      </c>
      <c r="Q95" s="56">
        <f>N95-186.8</f>
        <v>340.50999999999993</v>
      </c>
      <c r="R95" s="137">
        <f>N95/186.8</f>
        <v>2.8228586723768734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170</v>
      </c>
      <c r="F96" s="57">
        <v>124.07</v>
      </c>
      <c r="G96" s="49">
        <f t="shared" si="31"/>
        <v>-45.93000000000001</v>
      </c>
      <c r="H96" s="40">
        <f>F96/E96*100</f>
        <v>72.98235294117646</v>
      </c>
      <c r="I96" s="56">
        <f t="shared" si="32"/>
        <v>-1075.93</v>
      </c>
      <c r="J96" s="56">
        <f>F96/D96*100</f>
        <v>10.339166666666666</v>
      </c>
      <c r="K96" s="56">
        <f>F96-60</f>
        <v>64.07</v>
      </c>
      <c r="L96" s="137">
        <f>F96/60</f>
        <v>2.067833333333333</v>
      </c>
      <c r="M96" s="40">
        <f>E96-'січень '!E96</f>
        <v>85</v>
      </c>
      <c r="N96" s="40">
        <f>F96-'січень '!F96</f>
        <v>44.55999999999999</v>
      </c>
      <c r="O96" s="53">
        <f t="shared" si="33"/>
        <v>-40.44000000000001</v>
      </c>
      <c r="P96" s="56">
        <f>N96/M96*100</f>
        <v>52.42352941176469</v>
      </c>
      <c r="Q96" s="56">
        <f>N96-42.8</f>
        <v>1.759999999999991</v>
      </c>
      <c r="R96" s="137">
        <f>N96/42.8</f>
        <v>1.0411214953271026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7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7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7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7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660</v>
      </c>
      <c r="F99" s="57">
        <v>632.7</v>
      </c>
      <c r="G99" s="49">
        <f t="shared" si="31"/>
        <v>-27.299999999999955</v>
      </c>
      <c r="H99" s="40">
        <f>F99/E99*100</f>
        <v>95.86363636363637</v>
      </c>
      <c r="I99" s="56">
        <f t="shared" si="32"/>
        <v>-3247.3</v>
      </c>
      <c r="J99" s="56">
        <f>F99/D99*100</f>
        <v>16.306701030927837</v>
      </c>
      <c r="K99" s="56">
        <f>F99-488.6</f>
        <v>144.10000000000002</v>
      </c>
      <c r="L99" s="137">
        <f>F99/488.6</f>
        <v>1.294924273434302</v>
      </c>
      <c r="M99" s="40">
        <f>E99-'січень '!E99</f>
        <v>330</v>
      </c>
      <c r="N99" s="40">
        <f>F99-'січень '!F99</f>
        <v>355.32000000000005</v>
      </c>
      <c r="O99" s="53">
        <f t="shared" si="33"/>
        <v>25.32000000000005</v>
      </c>
      <c r="P99" s="56">
        <f>N99/M99*100</f>
        <v>107.6727272727273</v>
      </c>
      <c r="Q99" s="56">
        <f>N99-252.2</f>
        <v>103.12000000000006</v>
      </c>
      <c r="R99" s="137">
        <f>N99/252.2</f>
        <v>1.4088818398096752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7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7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7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7"/>
    </row>
    <row r="102" spans="1:18" s="6" customFormat="1" ht="31.5">
      <c r="A102" s="8"/>
      <c r="B102" s="76" t="s">
        <v>127</v>
      </c>
      <c r="C102" s="91"/>
      <c r="D102" s="146"/>
      <c r="E102" s="146"/>
      <c r="F102" s="148">
        <v>128.2</v>
      </c>
      <c r="G102" s="146"/>
      <c r="H102" s="148"/>
      <c r="I102" s="147"/>
      <c r="J102" s="147"/>
      <c r="K102" s="150">
        <f>F102-54.4</f>
        <v>73.79999999999998</v>
      </c>
      <c r="L102" s="151">
        <f>F102/54.4</f>
        <v>2.3566176470588234</v>
      </c>
      <c r="M102" s="148">
        <f>E102-'січень '!E102</f>
        <v>0</v>
      </c>
      <c r="N102" s="148">
        <f>F102-'січень '!F102</f>
        <v>63.499999999999986</v>
      </c>
      <c r="O102" s="53"/>
      <c r="P102" s="60"/>
      <c r="Q102" s="60">
        <f>N102-26.6</f>
        <v>36.899999999999984</v>
      </c>
      <c r="R102" s="140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7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7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</v>
      </c>
      <c r="F104" s="57">
        <f>2.68+0.009</f>
        <v>2.689</v>
      </c>
      <c r="G104" s="49">
        <f>F104-E104</f>
        <v>0.6890000000000001</v>
      </c>
      <c r="H104" s="40"/>
      <c r="I104" s="56">
        <f t="shared" si="34"/>
        <v>-42.311</v>
      </c>
      <c r="J104" s="56">
        <f aca="true" t="shared" si="36" ref="J104:J109">F104/D104*100</f>
        <v>5.975555555555555</v>
      </c>
      <c r="K104" s="56">
        <f>F104-10.6</f>
        <v>-7.911</v>
      </c>
      <c r="L104" s="137">
        <f>F104/10.6</f>
        <v>0.2536792452830189</v>
      </c>
      <c r="M104" s="40">
        <f>E104-'січень '!E104</f>
        <v>1</v>
      </c>
      <c r="N104" s="40">
        <f>F104-'січень '!F104</f>
        <v>0.4790000000000001</v>
      </c>
      <c r="O104" s="53">
        <f t="shared" si="35"/>
        <v>-0.5209999999999999</v>
      </c>
      <c r="P104" s="56"/>
      <c r="Q104" s="56"/>
      <c r="R104" s="137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137"/>
      <c r="M105" s="40">
        <f>E105-'січень '!E105</f>
        <v>0</v>
      </c>
      <c r="N105" s="40">
        <f>F105-'січень '!F105</f>
        <v>0</v>
      </c>
      <c r="O105" s="53">
        <f t="shared" si="35"/>
        <v>0</v>
      </c>
      <c r="P105" s="56"/>
      <c r="Q105" s="56"/>
      <c r="R105" s="137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72544.1</v>
      </c>
      <c r="F106" s="22">
        <f>F8+F74+F104+F105</f>
        <v>63947.05900000001</v>
      </c>
      <c r="G106" s="50">
        <f>F106-E106</f>
        <v>-8597.040999999997</v>
      </c>
      <c r="H106" s="51">
        <f>F106/E106*100</f>
        <v>88.14922095663191</v>
      </c>
      <c r="I106" s="36">
        <f t="shared" si="34"/>
        <v>-473092.841</v>
      </c>
      <c r="J106" s="36">
        <f t="shared" si="36"/>
        <v>11.907319921666902</v>
      </c>
      <c r="K106" s="36">
        <f>F106-75300.9</f>
        <v>-11353.840999999986</v>
      </c>
      <c r="L106" s="138">
        <f>F106/75300.9</f>
        <v>0.8492203811641031</v>
      </c>
      <c r="M106" s="22">
        <f>M8+M74+M104+M105</f>
        <v>37282</v>
      </c>
      <c r="N106" s="22">
        <f>N8+N74+N104+N105</f>
        <v>29179.059000000005</v>
      </c>
      <c r="O106" s="55">
        <f t="shared" si="35"/>
        <v>-8102.940999999995</v>
      </c>
      <c r="P106" s="36">
        <f>N106/M106*100</f>
        <v>78.26580923770186</v>
      </c>
      <c r="Q106" s="36">
        <f>N106-40779.2</f>
        <v>-11600.140999999992</v>
      </c>
      <c r="R106" s="138">
        <f>N106/40779.2</f>
        <v>0.715537798681681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56070</v>
      </c>
      <c r="F107" s="71">
        <f>F10-F18+F96</f>
        <v>50571.62</v>
      </c>
      <c r="G107" s="71">
        <f>G10-G18+G96</f>
        <v>-5498.379999999997</v>
      </c>
      <c r="H107" s="72">
        <f>F107/E107*100</f>
        <v>90.19372213304798</v>
      </c>
      <c r="I107" s="52">
        <f t="shared" si="34"/>
        <v>-368994.58</v>
      </c>
      <c r="J107" s="52">
        <f t="shared" si="36"/>
        <v>12.053311253385045</v>
      </c>
      <c r="K107" s="52">
        <f>F107-55213.7</f>
        <v>-4642.0799999999945</v>
      </c>
      <c r="L107" s="139">
        <f>F107/55213.7</f>
        <v>0.9159252142131392</v>
      </c>
      <c r="M107" s="71">
        <f>M10-M18+M96</f>
        <v>28835</v>
      </c>
      <c r="N107" s="71">
        <f>N10-N18+N96</f>
        <v>23924.000000000004</v>
      </c>
      <c r="O107" s="53">
        <f t="shared" si="35"/>
        <v>-4910.999999999996</v>
      </c>
      <c r="P107" s="52">
        <f>N107/M107*100</f>
        <v>82.96861453095198</v>
      </c>
      <c r="Q107" s="52">
        <f>N107-28449</f>
        <v>-4524.999999999996</v>
      </c>
      <c r="R107" s="139">
        <f>N107/28449</f>
        <v>0.8409434426517629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16474.100000000006</v>
      </c>
      <c r="F108" s="71">
        <f>F106-F107</f>
        <v>13375.439000000006</v>
      </c>
      <c r="G108" s="62">
        <f>F108-E108</f>
        <v>-3098.661</v>
      </c>
      <c r="H108" s="72">
        <f>F108/E108*100</f>
        <v>81.19071148044506</v>
      </c>
      <c r="I108" s="52">
        <f t="shared" si="34"/>
        <v>-104098.261</v>
      </c>
      <c r="J108" s="52">
        <f t="shared" si="36"/>
        <v>11.385900844188958</v>
      </c>
      <c r="K108" s="52">
        <f>F108-20087.2</f>
        <v>-6711.760999999995</v>
      </c>
      <c r="L108" s="139">
        <f>F108/20087.2</f>
        <v>0.6658687621968221</v>
      </c>
      <c r="M108" s="71">
        <f>M106-M107</f>
        <v>8447</v>
      </c>
      <c r="N108" s="71">
        <f>N106-N107</f>
        <v>5255.059000000001</v>
      </c>
      <c r="O108" s="53">
        <f t="shared" si="35"/>
        <v>-3191.940999999999</v>
      </c>
      <c r="P108" s="52">
        <f>N108/M108*100</f>
        <v>62.21213448561621</v>
      </c>
      <c r="Q108" s="52">
        <f>N108-12330.3</f>
        <v>-7075.240999999998</v>
      </c>
      <c r="R108" s="139">
        <f>N108/12330.3</f>
        <v>0.4261906847359757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f>28713.4+31301.3</f>
        <v>60014.7</v>
      </c>
      <c r="F109" s="71">
        <f>F107</f>
        <v>50571.62</v>
      </c>
      <c r="G109" s="111">
        <f>F109-E109</f>
        <v>-9443.079999999994</v>
      </c>
      <c r="H109" s="72">
        <f>F109/E109*100</f>
        <v>84.26538831319661</v>
      </c>
      <c r="I109" s="81">
        <f t="shared" si="34"/>
        <v>-368994.58</v>
      </c>
      <c r="J109" s="52">
        <f t="shared" si="36"/>
        <v>12.053311253385045</v>
      </c>
      <c r="K109" s="52"/>
      <c r="L109" s="139"/>
      <c r="M109" s="122">
        <f>E109-'січень '!E109</f>
        <v>31301.299999999996</v>
      </c>
      <c r="N109" s="71">
        <f>N107</f>
        <v>23924.000000000004</v>
      </c>
      <c r="O109" s="118">
        <f t="shared" si="35"/>
        <v>-7377.299999999992</v>
      </c>
      <c r="P109" s="52">
        <f>N109/M109*100</f>
        <v>76.43133032813336</v>
      </c>
      <c r="Q109" s="52"/>
      <c r="R109" s="139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f>1568.431+1650.98</f>
        <v>3219.411</v>
      </c>
      <c r="F110" s="87">
        <f>'[1]лютий'!$C$28/1000</f>
        <v>3054.313</v>
      </c>
      <c r="G110" s="62">
        <f>F110-E110</f>
        <v>-165.09799999999996</v>
      </c>
      <c r="H110" s="72"/>
      <c r="I110" s="85">
        <f t="shared" si="34"/>
        <v>-1816.067</v>
      </c>
      <c r="J110" s="52"/>
      <c r="K110" s="52"/>
      <c r="L110" s="139"/>
      <c r="M110" s="40">
        <f>E110-'січень '!E110</f>
        <v>1650.981</v>
      </c>
      <c r="N110" s="71">
        <f>F110-'січень '!F110</f>
        <v>1485.882</v>
      </c>
      <c r="O110" s="86"/>
      <c r="P110" s="52">
        <f>N110/M110*100</f>
        <v>89.99994548695595</v>
      </c>
      <c r="Q110" s="52"/>
      <c r="R110" s="139"/>
    </row>
    <row r="111" spans="1:18" s="73" customFormat="1" ht="37.5" hidden="1">
      <c r="A111" s="69"/>
      <c r="B111" s="83" t="s">
        <v>183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139"/>
      <c r="M111" s="40">
        <v>0</v>
      </c>
      <c r="N111" s="84">
        <v>0</v>
      </c>
      <c r="O111" s="118">
        <f>N111-M111</f>
        <v>0</v>
      </c>
      <c r="P111" s="52"/>
      <c r="Q111" s="52"/>
      <c r="R111" s="139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40"/>
      <c r="M112" s="41"/>
      <c r="N112" s="41"/>
      <c r="O112" s="53"/>
      <c r="P112" s="60"/>
      <c r="Q112" s="60"/>
      <c r="R112" s="140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40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40"/>
    </row>
    <row r="114" spans="2:18" ht="15.75">
      <c r="B114" s="30" t="s">
        <v>131</v>
      </c>
      <c r="C114" s="106">
        <v>12030000</v>
      </c>
      <c r="D114" s="33">
        <v>3671.5</v>
      </c>
      <c r="E114" s="33">
        <v>1126.05</v>
      </c>
      <c r="F114" s="32">
        <v>177.46</v>
      </c>
      <c r="G114" s="49">
        <f t="shared" si="37"/>
        <v>-948.5899999999999</v>
      </c>
      <c r="H114" s="40">
        <f aca="true" t="shared" si="39" ref="H114:H125">F114/E114*100</f>
        <v>15.759513343101993</v>
      </c>
      <c r="I114" s="60">
        <f t="shared" si="38"/>
        <v>-3494.04</v>
      </c>
      <c r="J114" s="60">
        <f aca="true" t="shared" si="40" ref="J114:J120">F114/D114*100</f>
        <v>4.833446820100776</v>
      </c>
      <c r="K114" s="60">
        <f>F114-605.5</f>
        <v>-428.03999999999996</v>
      </c>
      <c r="L114" s="140">
        <f>F114/605.5</f>
        <v>0.2930800990916598</v>
      </c>
      <c r="M114" s="40">
        <f>E114-'січень '!E114</f>
        <v>563.02</v>
      </c>
      <c r="N114" s="40">
        <f>F114-'січень '!F114</f>
        <v>109.32000000000001</v>
      </c>
      <c r="O114" s="53">
        <f aca="true" t="shared" si="41" ref="O114:O125">N114-M114</f>
        <v>-453.7</v>
      </c>
      <c r="P114" s="60">
        <f>N114/M114*100</f>
        <v>19.416716990515436</v>
      </c>
      <c r="Q114" s="60">
        <f>N114-358.7</f>
        <v>-249.38</v>
      </c>
      <c r="R114" s="140">
        <f>N114/358.7</f>
        <v>0.3047672149428492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50</v>
      </c>
      <c r="F115" s="32">
        <v>46.69</v>
      </c>
      <c r="G115" s="49">
        <f t="shared" si="37"/>
        <v>-3.3100000000000023</v>
      </c>
      <c r="H115" s="40">
        <f t="shared" si="39"/>
        <v>93.38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40">
        <f>F115/39.4</f>
        <v>1.1850253807106599</v>
      </c>
      <c r="M115" s="40">
        <f>E115-'січень '!E115</f>
        <v>25</v>
      </c>
      <c r="N115" s="40">
        <f>F115-'січень '!F115</f>
        <v>22.159999999999997</v>
      </c>
      <c r="O115" s="53">
        <f t="shared" si="41"/>
        <v>-2.8400000000000034</v>
      </c>
      <c r="P115" s="60">
        <f>N115/M115*100</f>
        <v>88.63999999999999</v>
      </c>
      <c r="Q115" s="60">
        <f>N115-16.9</f>
        <v>5.259999999999998</v>
      </c>
      <c r="R115" s="140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1176.05</v>
      </c>
      <c r="F116" s="38">
        <f>SUM(F113:F115)</f>
        <v>221.54</v>
      </c>
      <c r="G116" s="62">
        <f t="shared" si="37"/>
        <v>-954.51</v>
      </c>
      <c r="H116" s="72">
        <f t="shared" si="39"/>
        <v>18.837634454317417</v>
      </c>
      <c r="I116" s="61">
        <f t="shared" si="38"/>
        <v>-3718.06</v>
      </c>
      <c r="J116" s="61">
        <f t="shared" si="40"/>
        <v>5.623413544522286</v>
      </c>
      <c r="K116" s="61">
        <f>F116-648.9</f>
        <v>-427.36</v>
      </c>
      <c r="L116" s="141">
        <f>F116/648.9</f>
        <v>0.34140853752504235</v>
      </c>
      <c r="M116" s="62">
        <f>M114+M115+M113</f>
        <v>588.02</v>
      </c>
      <c r="N116" s="38">
        <f>SUM(N113:N115)</f>
        <v>128.69</v>
      </c>
      <c r="O116" s="61">
        <f t="shared" si="41"/>
        <v>-459.33</v>
      </c>
      <c r="P116" s="61">
        <f>N116/M116*100</f>
        <v>21.88531002346859</v>
      </c>
      <c r="Q116" s="61">
        <f>N116-378.9</f>
        <v>-250.20999999999998</v>
      </c>
      <c r="R116" s="141">
        <f>N116/378.9</f>
        <v>0.33964106624439167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40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40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57.09</v>
      </c>
      <c r="G118" s="49">
        <f t="shared" si="37"/>
        <v>57.09</v>
      </c>
      <c r="H118" s="40" t="e">
        <f t="shared" si="39"/>
        <v>#DIV/0!</v>
      </c>
      <c r="I118" s="60">
        <f t="shared" si="38"/>
        <v>57.09</v>
      </c>
      <c r="J118" s="60" t="e">
        <f t="shared" si="40"/>
        <v>#DIV/0!</v>
      </c>
      <c r="K118" s="60">
        <f>F118-5.2</f>
        <v>51.89</v>
      </c>
      <c r="L118" s="140">
        <f>F118/5.2</f>
        <v>10.978846153846154</v>
      </c>
      <c r="M118" s="40">
        <f>E118-'січень '!E118</f>
        <v>0</v>
      </c>
      <c r="N118" s="40">
        <f>F118-'січень '!F118</f>
        <v>2.770000000000003</v>
      </c>
      <c r="O118" s="53" t="s">
        <v>166</v>
      </c>
      <c r="P118" s="60"/>
      <c r="Q118" s="60">
        <f>N118-5</f>
        <v>-2.229999999999997</v>
      </c>
      <c r="R118" s="140">
        <f>N118/5</f>
        <v>0.5540000000000006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0</v>
      </c>
      <c r="F119" s="33">
        <v>16787.65</v>
      </c>
      <c r="G119" s="49">
        <f t="shared" si="37"/>
        <v>16787.65</v>
      </c>
      <c r="H119" s="40" t="e">
        <f t="shared" si="39"/>
        <v>#DIV/0!</v>
      </c>
      <c r="I119" s="53">
        <f t="shared" si="38"/>
        <v>-9199.734999999997</v>
      </c>
      <c r="J119" s="60">
        <f t="shared" si="40"/>
        <v>64.59922766372993</v>
      </c>
      <c r="K119" s="60">
        <f>F119-14451.2</f>
        <v>2336.4500000000007</v>
      </c>
      <c r="L119" s="140">
        <f>F119/14451.2</f>
        <v>1.1616786149247122</v>
      </c>
      <c r="M119" s="40">
        <f>E119-'січень '!E119</f>
        <v>0</v>
      </c>
      <c r="N119" s="40">
        <f>F119-'січень '!F119</f>
        <v>9307.79</v>
      </c>
      <c r="O119" s="53">
        <f t="shared" si="41"/>
        <v>9307.79</v>
      </c>
      <c r="P119" s="60" t="e">
        <f aca="true" t="shared" si="42" ref="P119:P124">N119/M119*100</f>
        <v>#DIV/0!</v>
      </c>
      <c r="Q119" s="60">
        <f>N119-8093.7</f>
        <v>1214.090000000001</v>
      </c>
      <c r="R119" s="140">
        <f>N119/8093.7</f>
        <v>1.1500043243510385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40">
        <f>F120/230.3*100</f>
        <v>206.64350846721663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40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666.17</v>
      </c>
      <c r="G121" s="49">
        <f t="shared" si="37"/>
        <v>666.17</v>
      </c>
      <c r="H121" s="40" t="e">
        <f t="shared" si="39"/>
        <v>#DIV/0!</v>
      </c>
      <c r="I121" s="60">
        <f t="shared" si="38"/>
        <v>666.17</v>
      </c>
      <c r="J121" s="60" t="e">
        <f>F121/D121*100</f>
        <v>#DIV/0!</v>
      </c>
      <c r="K121" s="60">
        <f>F121-238.5</f>
        <v>427.66999999999996</v>
      </c>
      <c r="L121" s="140">
        <f>F121/280.4</f>
        <v>2.375784593437946</v>
      </c>
      <c r="M121" s="40">
        <f>E121-'січень '!E121</f>
        <v>0</v>
      </c>
      <c r="N121" s="40">
        <f>F121-'січень '!F121</f>
        <v>216.15999999999997</v>
      </c>
      <c r="O121" s="53">
        <f t="shared" si="41"/>
        <v>216.15999999999997</v>
      </c>
      <c r="P121" s="60" t="e">
        <f t="shared" si="42"/>
        <v>#DIV/0!</v>
      </c>
      <c r="Q121" s="60">
        <f>N121-50.2</f>
        <v>165.95999999999998</v>
      </c>
      <c r="R121" s="140">
        <f>N121/50.2</f>
        <v>4.305976095617529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40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40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0</v>
      </c>
      <c r="F123" s="38">
        <f>F119+F120+F121+F122+F118</f>
        <v>18074.210000000003</v>
      </c>
      <c r="G123" s="62">
        <f t="shared" si="37"/>
        <v>18074.210000000003</v>
      </c>
      <c r="H123" s="72" t="e">
        <f t="shared" si="39"/>
        <v>#DIV/0!</v>
      </c>
      <c r="I123" s="61">
        <f t="shared" si="38"/>
        <v>-7913.174999999996</v>
      </c>
      <c r="J123" s="61">
        <f>F123/D123*100</f>
        <v>69.54993740232041</v>
      </c>
      <c r="K123" s="61">
        <f>F123-15573.7</f>
        <v>2500.510000000002</v>
      </c>
      <c r="L123" s="141">
        <f>F123/15573.7</f>
        <v>1.160559789902207</v>
      </c>
      <c r="M123" s="62">
        <f>M119+M120+M121+M122+M118</f>
        <v>0</v>
      </c>
      <c r="N123" s="62">
        <f>N119+N120+N121+N122+N118</f>
        <v>10088.930000000002</v>
      </c>
      <c r="O123" s="61">
        <f t="shared" si="41"/>
        <v>10088.930000000002</v>
      </c>
      <c r="P123" s="61" t="e">
        <f t="shared" si="42"/>
        <v>#DIV/0!</v>
      </c>
      <c r="Q123" s="61">
        <f>N123-8732.6</f>
        <v>1356.3300000000017</v>
      </c>
      <c r="R123" s="141">
        <f>N123/8732.6</f>
        <v>1.1553180038018462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</v>
      </c>
      <c r="F124" s="33">
        <v>0.16</v>
      </c>
      <c r="G124" s="49">
        <f t="shared" si="37"/>
        <v>0.16</v>
      </c>
      <c r="H124" s="40" t="e">
        <f t="shared" si="39"/>
        <v>#DIV/0!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40">
        <f>F124/26.5</f>
        <v>0.0060377358490566035</v>
      </c>
      <c r="M124" s="40">
        <f>E124-'січень '!E124</f>
        <v>0</v>
      </c>
      <c r="N124" s="40">
        <f>F124-'січень '!F124</f>
        <v>0</v>
      </c>
      <c r="O124" s="53">
        <f t="shared" si="41"/>
        <v>0</v>
      </c>
      <c r="P124" s="60" t="e">
        <f t="shared" si="42"/>
        <v>#DIV/0!</v>
      </c>
      <c r="Q124" s="60">
        <f>N124-26.2</f>
        <v>-26.2</v>
      </c>
      <c r="R124" s="140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40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2"/>
    </row>
    <row r="126" spans="2:18" ht="15.75">
      <c r="B126" s="30" t="s">
        <v>146</v>
      </c>
      <c r="C126" s="106">
        <v>24061600</v>
      </c>
      <c r="D126" s="33">
        <v>7.2</v>
      </c>
      <c r="E126" s="33">
        <v>0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40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2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1460.19</v>
      </c>
      <c r="F127" s="33">
        <v>3484.64</v>
      </c>
      <c r="G127" s="49">
        <f aca="true" t="shared" si="43" ref="G127:G134">F127-E127</f>
        <v>2024.4499999999998</v>
      </c>
      <c r="H127" s="40">
        <f>F127/E127*100</f>
        <v>238.64291633280595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40">
        <f>F127/2439.3</f>
        <v>1.4285409748698394</v>
      </c>
      <c r="M127" s="40">
        <f>E127-'січень '!E127</f>
        <v>730.09</v>
      </c>
      <c r="N127" s="40">
        <f>F127-'січень '!F127</f>
        <v>3466.97</v>
      </c>
      <c r="O127" s="53">
        <f aca="true" t="shared" si="45" ref="O127:O134">N127-M127</f>
        <v>2736.8799999999997</v>
      </c>
      <c r="P127" s="60">
        <f>N127/M127*100</f>
        <v>474.86885178539626</v>
      </c>
      <c r="Q127" s="60">
        <f>N127-2355</f>
        <v>1111.9699999999998</v>
      </c>
      <c r="R127" s="140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40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40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1460.19</v>
      </c>
      <c r="F129" s="38">
        <f>F127+F124+F128+F126</f>
        <v>3493.33</v>
      </c>
      <c r="G129" s="62">
        <f t="shared" si="43"/>
        <v>2033.1399999999999</v>
      </c>
      <c r="H129" s="72">
        <f>F129/E129*100</f>
        <v>239.23804436408957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41">
        <f>G129/2474.4</f>
        <v>0.8216698997736824</v>
      </c>
      <c r="M129" s="62">
        <f>M124+M127+M128+M126</f>
        <v>730.09</v>
      </c>
      <c r="N129" s="62">
        <f>N124+N127+N128+N126</f>
        <v>3466.95</v>
      </c>
      <c r="O129" s="61">
        <f t="shared" si="45"/>
        <v>2736.8599999999997</v>
      </c>
      <c r="P129" s="61">
        <f>N129/M129*100</f>
        <v>474.8661123971017</v>
      </c>
      <c r="Q129" s="61">
        <f>N129-2389.7</f>
        <v>1077.25</v>
      </c>
      <c r="R129" s="139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</v>
      </c>
      <c r="F130" s="33">
        <v>0.45</v>
      </c>
      <c r="G130" s="49">
        <f>F130-E130</f>
        <v>0.45</v>
      </c>
      <c r="H130" s="40" t="e">
        <f>F130/E130*100</f>
        <v>#DIV/0!</v>
      </c>
      <c r="I130" s="60">
        <f>F130-D130</f>
        <v>-29.55</v>
      </c>
      <c r="J130" s="60">
        <f>F130/D130*100</f>
        <v>1.5000000000000002</v>
      </c>
      <c r="K130" s="60">
        <f>F130-1</f>
        <v>-0.55</v>
      </c>
      <c r="L130" s="140">
        <f>F130/1</f>
        <v>0.45</v>
      </c>
      <c r="M130" s="40">
        <f>E130-'січень '!E130</f>
        <v>0</v>
      </c>
      <c r="N130" s="40">
        <f>F130-'січень '!F130</f>
        <v>0</v>
      </c>
      <c r="O130" s="53">
        <f>N130-M130</f>
        <v>0</v>
      </c>
      <c r="P130" s="60" t="e">
        <f>N130/M130*100</f>
        <v>#DIV/0!</v>
      </c>
      <c r="Q130" s="60">
        <f>N130-0.5</f>
        <v>-0.5</v>
      </c>
      <c r="R130" s="140">
        <f>N130/0.5</f>
        <v>0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604</v>
      </c>
      <c r="F131" s="33">
        <v>0</v>
      </c>
      <c r="G131" s="49"/>
      <c r="H131" s="40"/>
      <c r="I131" s="60"/>
      <c r="J131" s="60"/>
      <c r="K131" s="60"/>
      <c r="L131" s="140"/>
      <c r="M131" s="40">
        <f>E131-'січень '!E131</f>
        <v>302</v>
      </c>
      <c r="N131" s="40">
        <f>F131-'січень '!F131</f>
        <v>0</v>
      </c>
      <c r="O131" s="53"/>
      <c r="P131" s="60"/>
      <c r="Q131" s="60">
        <f>N131-0</f>
        <v>0</v>
      </c>
      <c r="R131" s="140"/>
    </row>
    <row r="132" spans="2:18" ht="31.5">
      <c r="B132" s="30" t="s">
        <v>113</v>
      </c>
      <c r="C132" s="106">
        <v>50110000</v>
      </c>
      <c r="D132" s="33">
        <v>0</v>
      </c>
      <c r="E132" s="33">
        <v>18.48</v>
      </c>
      <c r="F132" s="33">
        <v>0</v>
      </c>
      <c r="G132" s="49">
        <f t="shared" si="43"/>
        <v>-18.48</v>
      </c>
      <c r="H132" s="40">
        <f>F132/E132*100</f>
        <v>0</v>
      </c>
      <c r="I132" s="60">
        <f t="shared" si="44"/>
        <v>0</v>
      </c>
      <c r="J132" s="60" t="e">
        <f>F132/D132*100</f>
        <v>#DIV/0!</v>
      </c>
      <c r="K132" s="60"/>
      <c r="L132" s="140">
        <f>F132/65.9*100</f>
        <v>0</v>
      </c>
      <c r="M132" s="40">
        <f>E132-'січень '!E132</f>
        <v>9.24</v>
      </c>
      <c r="N132" s="40">
        <f>F132-'січень '!F132</f>
        <v>0</v>
      </c>
      <c r="O132" s="53">
        <f t="shared" si="45"/>
        <v>-9.24</v>
      </c>
      <c r="P132" s="60"/>
      <c r="Q132" s="60">
        <f>N132-(-60.1)</f>
        <v>60.1</v>
      </c>
      <c r="R132" s="140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3258.72</v>
      </c>
      <c r="F133" s="31">
        <f>F116+F130+F123+F129+F132+F131</f>
        <v>21789.530000000006</v>
      </c>
      <c r="G133" s="50">
        <f t="shared" si="43"/>
        <v>18530.810000000005</v>
      </c>
      <c r="H133" s="51">
        <f>F133/E133*100</f>
        <v>668.6530294103209</v>
      </c>
      <c r="I133" s="36">
        <f t="shared" si="44"/>
        <v>-16918.15499999999</v>
      </c>
      <c r="J133" s="36">
        <f>F133/D133*100</f>
        <v>56.29251658940597</v>
      </c>
      <c r="K133" s="36">
        <f>F133-18698.1</f>
        <v>3091.4300000000076</v>
      </c>
      <c r="L133" s="138">
        <f>F133/18698.1</f>
        <v>1.1653339109321272</v>
      </c>
      <c r="M133" s="31">
        <f>M116+M130+M123+M129+M132+M131</f>
        <v>1629.3500000000001</v>
      </c>
      <c r="N133" s="31">
        <f>N116+N130+N123+N129+N132+N131</f>
        <v>13684.570000000003</v>
      </c>
      <c r="O133" s="36">
        <f t="shared" si="45"/>
        <v>12055.220000000003</v>
      </c>
      <c r="P133" s="36">
        <f>N133/M133*100</f>
        <v>839.8790928898029</v>
      </c>
      <c r="Q133" s="36">
        <f>N133-11501.6</f>
        <v>2182.970000000003</v>
      </c>
      <c r="R133" s="138">
        <f>N133/11501.6</f>
        <v>1.189797071711762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75802.82</v>
      </c>
      <c r="F134" s="31">
        <f>F106+F133</f>
        <v>85736.589</v>
      </c>
      <c r="G134" s="50">
        <f t="shared" si="43"/>
        <v>9933.769</v>
      </c>
      <c r="H134" s="51">
        <f>F134/E134*100</f>
        <v>113.10474860961637</v>
      </c>
      <c r="I134" s="36">
        <f t="shared" si="44"/>
        <v>-490010.9959999999</v>
      </c>
      <c r="J134" s="36">
        <f>F134/D134*100</f>
        <v>14.891350173878717</v>
      </c>
      <c r="K134" s="36">
        <f>F134-93999</f>
        <v>-8262.410999999993</v>
      </c>
      <c r="L134" s="138">
        <f>F134/93999</f>
        <v>0.912101075543357</v>
      </c>
      <c r="M134" s="22">
        <f>M106+M133</f>
        <v>38911.35</v>
      </c>
      <c r="N134" s="22">
        <f>N106+N133</f>
        <v>42863.62900000001</v>
      </c>
      <c r="O134" s="36">
        <f t="shared" si="45"/>
        <v>3952.2790000000095</v>
      </c>
      <c r="P134" s="36">
        <f>N134/M134*100</f>
        <v>110.15713667091995</v>
      </c>
      <c r="Q134" s="36">
        <f>N134-52280.8</f>
        <v>-9417.170999999995</v>
      </c>
      <c r="R134" s="138">
        <f>N134/52280.8</f>
        <v>0.8198732421845114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2</v>
      </c>
      <c r="D136" s="4" t="s">
        <v>118</v>
      </c>
    </row>
    <row r="137" spans="2:17" ht="31.5">
      <c r="B137" s="78" t="s">
        <v>154</v>
      </c>
      <c r="C137" s="39">
        <f>IF(O106&lt;0,ABS(O106/C136),0)</f>
        <v>4051.4704999999976</v>
      </c>
      <c r="D137" s="4" t="s">
        <v>104</v>
      </c>
      <c r="G137" s="176"/>
      <c r="H137" s="176"/>
      <c r="I137" s="176"/>
      <c r="J137" s="176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41696</v>
      </c>
      <c r="D138" s="39">
        <v>3746.1</v>
      </c>
      <c r="N138" s="177"/>
      <c r="O138" s="177"/>
    </row>
    <row r="139" spans="3:15" ht="15.75">
      <c r="C139" s="120">
        <v>41695</v>
      </c>
      <c r="D139" s="39">
        <v>1459.2</v>
      </c>
      <c r="F139" s="4" t="s">
        <v>166</v>
      </c>
      <c r="G139" s="178" t="s">
        <v>151</v>
      </c>
      <c r="H139" s="178"/>
      <c r="I139" s="115">
        <f>'[1]залишки  (2)'!$G$9/1000</f>
        <v>13825.22196</v>
      </c>
      <c r="J139" s="179" t="s">
        <v>161</v>
      </c>
      <c r="K139" s="179"/>
      <c r="L139" s="179"/>
      <c r="M139" s="179"/>
      <c r="N139" s="177"/>
      <c r="O139" s="177"/>
    </row>
    <row r="140" spans="3:15" ht="15.75">
      <c r="C140" s="120">
        <v>41694</v>
      </c>
      <c r="D140" s="39">
        <v>994.5</v>
      </c>
      <c r="G140" s="184" t="s">
        <v>155</v>
      </c>
      <c r="H140" s="184"/>
      <c r="I140" s="112">
        <v>0</v>
      </c>
      <c r="J140" s="185" t="s">
        <v>162</v>
      </c>
      <c r="K140" s="185"/>
      <c r="L140" s="185"/>
      <c r="M140" s="185"/>
      <c r="N140" s="177"/>
      <c r="O140" s="177"/>
    </row>
    <row r="141" spans="7:13" ht="15.75" customHeight="1">
      <c r="G141" s="178" t="s">
        <v>148</v>
      </c>
      <c r="H141" s="178"/>
      <c r="I141" s="112">
        <f>'[1]залишки  (2)'!$G$8/1000</f>
        <v>0</v>
      </c>
      <c r="J141" s="179" t="s">
        <v>163</v>
      </c>
      <c r="K141" s="179"/>
      <c r="L141" s="179"/>
      <c r="M141" s="179"/>
    </row>
    <row r="142" spans="2:13" ht="18.75" customHeight="1">
      <c r="B142" s="186" t="s">
        <v>160</v>
      </c>
      <c r="C142" s="187"/>
      <c r="D142" s="117">
        <f>'[1]залишки  (2)'!$G$6/1000</f>
        <v>121499.53986</v>
      </c>
      <c r="E142" s="80"/>
      <c r="F142" s="100" t="s">
        <v>147</v>
      </c>
      <c r="G142" s="178" t="s">
        <v>149</v>
      </c>
      <c r="H142" s="178"/>
      <c r="I142" s="116">
        <f>'[1]залишки  (2)'!$G$10/1000</f>
        <v>107674.31790000001</v>
      </c>
      <c r="J142" s="179" t="s">
        <v>164</v>
      </c>
      <c r="K142" s="179"/>
      <c r="L142" s="179"/>
      <c r="M142" s="179"/>
    </row>
    <row r="143" spans="7:12" ht="9.75" customHeight="1">
      <c r="G143" s="188"/>
      <c r="H143" s="188"/>
      <c r="I143" s="98"/>
      <c r="J143" s="99"/>
      <c r="K143" s="99"/>
      <c r="L143" s="99"/>
    </row>
    <row r="144" spans="2:12" ht="22.5" customHeight="1">
      <c r="B144" s="189" t="s">
        <v>169</v>
      </c>
      <c r="C144" s="190"/>
      <c r="D144" s="119">
        <v>0</v>
      </c>
      <c r="E144" s="77" t="s">
        <v>104</v>
      </c>
      <c r="G144" s="188"/>
      <c r="H144" s="188"/>
      <c r="I144" s="98"/>
      <c r="J144" s="99"/>
      <c r="K144" s="99"/>
      <c r="L144" s="99"/>
    </row>
    <row r="145" spans="4:15" ht="15.75">
      <c r="D145" s="114"/>
      <c r="N145" s="188"/>
      <c r="O145" s="188"/>
    </row>
    <row r="146" spans="4:15" ht="15.75">
      <c r="D146" s="113"/>
      <c r="I146" s="39"/>
      <c r="N146" s="191"/>
      <c r="O146" s="191"/>
    </row>
    <row r="147" spans="14:15" ht="15.75">
      <c r="N147" s="188"/>
      <c r="O147" s="188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P3"/>
    <mergeCell ref="E4:E5"/>
  </mergeCells>
  <printOptions/>
  <pageMargins left="0.24" right="0.18" top="0.2" bottom="0.39" header="0.17" footer="0.29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E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56" sqref="F5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9.125" style="131" customWidth="1"/>
    <col min="19" max="16384" width="9.125" style="4" customWidth="1"/>
  </cols>
  <sheetData>
    <row r="1" spans="1:18" s="1" customFormat="1" ht="26.25" customHeight="1">
      <c r="A1" s="153" t="s">
        <v>186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26"/>
      <c r="R1" s="128"/>
    </row>
    <row r="2" spans="2:18" s="1" customFormat="1" ht="15.75" customHeight="1">
      <c r="B2" s="154"/>
      <c r="C2" s="154"/>
      <c r="D2" s="154"/>
      <c r="E2" s="2"/>
      <c r="F2" s="2"/>
      <c r="G2" s="2"/>
      <c r="H2" s="2"/>
      <c r="P2" s="24" t="s">
        <v>104</v>
      </c>
      <c r="Q2" s="24"/>
      <c r="R2" s="129"/>
    </row>
    <row r="3" spans="1:18" s="3" customFormat="1" ht="13.5" customHeight="1">
      <c r="A3" s="155"/>
      <c r="B3" s="157"/>
      <c r="C3" s="158" t="s">
        <v>0</v>
      </c>
      <c r="D3" s="159" t="s">
        <v>190</v>
      </c>
      <c r="E3" s="46"/>
      <c r="F3" s="160" t="s">
        <v>107</v>
      </c>
      <c r="G3" s="161"/>
      <c r="H3" s="161"/>
      <c r="I3" s="161"/>
      <c r="J3" s="162"/>
      <c r="K3" s="123"/>
      <c r="L3" s="123"/>
      <c r="M3" s="163" t="s">
        <v>181</v>
      </c>
      <c r="N3" s="152" t="s">
        <v>180</v>
      </c>
      <c r="O3" s="152"/>
      <c r="P3" s="152"/>
      <c r="Q3" s="127"/>
      <c r="R3" s="130"/>
    </row>
    <row r="4" spans="1:18" ht="22.5" customHeight="1">
      <c r="A4" s="155"/>
      <c r="B4" s="157"/>
      <c r="C4" s="158"/>
      <c r="D4" s="159"/>
      <c r="E4" s="164" t="s">
        <v>153</v>
      </c>
      <c r="F4" s="168" t="s">
        <v>116</v>
      </c>
      <c r="G4" s="170" t="s">
        <v>175</v>
      </c>
      <c r="H4" s="172" t="s">
        <v>176</v>
      </c>
      <c r="I4" s="174" t="s">
        <v>177</v>
      </c>
      <c r="J4" s="180" t="s">
        <v>178</v>
      </c>
      <c r="K4" s="125" t="s">
        <v>174</v>
      </c>
      <c r="L4" s="132" t="s">
        <v>173</v>
      </c>
      <c r="M4" s="163"/>
      <c r="N4" s="182" t="s">
        <v>189</v>
      </c>
      <c r="O4" s="174" t="s">
        <v>136</v>
      </c>
      <c r="P4" s="152" t="s">
        <v>135</v>
      </c>
      <c r="Q4" s="133" t="s">
        <v>174</v>
      </c>
      <c r="R4" s="134" t="s">
        <v>173</v>
      </c>
    </row>
    <row r="5" spans="1:18" ht="82.5" customHeight="1">
      <c r="A5" s="156"/>
      <c r="B5" s="157"/>
      <c r="C5" s="158"/>
      <c r="D5" s="159"/>
      <c r="E5" s="165"/>
      <c r="F5" s="169"/>
      <c r="G5" s="171"/>
      <c r="H5" s="173"/>
      <c r="I5" s="175"/>
      <c r="J5" s="181"/>
      <c r="K5" s="166" t="s">
        <v>179</v>
      </c>
      <c r="L5" s="167"/>
      <c r="M5" s="163"/>
      <c r="N5" s="183"/>
      <c r="O5" s="175"/>
      <c r="P5" s="152"/>
      <c r="Q5" s="166" t="s">
        <v>182</v>
      </c>
      <c r="R5" s="16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/>
      <c r="F6" s="10" t="s">
        <v>5</v>
      </c>
      <c r="G6" s="10"/>
      <c r="H6" s="10"/>
      <c r="I6" s="10" t="s">
        <v>6</v>
      </c>
      <c r="J6" s="10" t="s">
        <v>7</v>
      </c>
      <c r="K6" s="10"/>
      <c r="L6" s="10"/>
      <c r="M6" s="10" t="s">
        <v>122</v>
      </c>
      <c r="N6" s="10" t="s">
        <v>170</v>
      </c>
      <c r="O6" s="10" t="s">
        <v>8</v>
      </c>
      <c r="P6" s="10" t="s">
        <v>105</v>
      </c>
      <c r="Q6" s="10"/>
      <c r="R6" s="135"/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5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223265.1</v>
      </c>
      <c r="E8" s="22">
        <f>E10+E19+E33+E56+E68</f>
        <v>34205</v>
      </c>
      <c r="F8" s="22">
        <f>F10+F19+F33+F56+F68+F30</f>
        <v>33748.16</v>
      </c>
      <c r="G8" s="22">
        <f aca="true" t="shared" si="0" ref="G8:G30">F8-E8</f>
        <v>-456.8399999999965</v>
      </c>
      <c r="H8" s="51">
        <f>F8/E8*100</f>
        <v>98.6644057886274</v>
      </c>
      <c r="I8" s="36">
        <f aca="true" t="shared" si="1" ref="I8:I17">F8-D8</f>
        <v>-189516.94</v>
      </c>
      <c r="J8" s="36">
        <f aca="true" t="shared" si="2" ref="J8:J14">F8/D8*100</f>
        <v>15.115734613246765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34205</v>
      </c>
      <c r="N8" s="22">
        <f>N10+N19+N33+N56+N68+N30</f>
        <v>33748.16</v>
      </c>
      <c r="O8" s="36">
        <f aca="true" t="shared" si="3" ref="O8:O55">N8-M8</f>
        <v>-456.8399999999965</v>
      </c>
      <c r="P8" s="36">
        <f>F8/M8*100</f>
        <v>98.6644057886274</v>
      </c>
      <c r="Q8" s="36">
        <f>N8-33601.5</f>
        <v>146.6600000000035</v>
      </c>
      <c r="R8" s="136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180220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-153651.89</v>
      </c>
      <c r="J9" s="56">
        <f t="shared" si="2"/>
        <v>14.742043058484075</v>
      </c>
      <c r="K9" s="56"/>
      <c r="L9" s="56"/>
      <c r="M9" s="20">
        <f>M10+M17</f>
        <v>27150</v>
      </c>
      <c r="N9" s="20">
        <f>N10+N17</f>
        <v>26568.11</v>
      </c>
      <c r="O9" s="36">
        <f t="shared" si="3"/>
        <v>-581.8899999999994</v>
      </c>
      <c r="P9" s="56">
        <f>F9/M9*100</f>
        <v>97.85675874769798</v>
      </c>
      <c r="Q9" s="56"/>
      <c r="R9" s="137"/>
    </row>
    <row r="10" spans="1:18" s="6" customFormat="1" ht="15.75">
      <c r="A10" s="8"/>
      <c r="B10" s="15" t="s">
        <v>145</v>
      </c>
      <c r="C10" s="66">
        <v>11010000</v>
      </c>
      <c r="D10" s="41">
        <v>180220</v>
      </c>
      <c r="E10" s="41">
        <v>27150</v>
      </c>
      <c r="F10" s="40">
        <v>26568.11</v>
      </c>
      <c r="G10" s="49">
        <f t="shared" si="0"/>
        <v>-581.8899999999994</v>
      </c>
      <c r="H10" s="40">
        <f aca="true" t="shared" si="4" ref="H10:H17">F10/E10*100</f>
        <v>97.85675874769798</v>
      </c>
      <c r="I10" s="56">
        <f t="shared" si="1"/>
        <v>-153651.89</v>
      </c>
      <c r="J10" s="56">
        <f t="shared" si="2"/>
        <v>14.742043058484075</v>
      </c>
      <c r="K10" s="56">
        <f>F10-26732.4</f>
        <v>-164.29000000000087</v>
      </c>
      <c r="L10" s="56">
        <f>F10/26732.4*100</f>
        <v>99.38542742140622</v>
      </c>
      <c r="M10" s="40">
        <f>E10</f>
        <v>27150</v>
      </c>
      <c r="N10" s="40">
        <f>F10</f>
        <v>26568.11</v>
      </c>
      <c r="O10" s="53">
        <f t="shared" si="3"/>
        <v>-581.8899999999994</v>
      </c>
      <c r="P10" s="56">
        <f aca="true" t="shared" si="5" ref="P10:P17">N10/M10*100</f>
        <v>97.85675874769798</v>
      </c>
      <c r="Q10" s="143">
        <f>N10-26732.4</f>
        <v>-164.29000000000087</v>
      </c>
      <c r="R10" s="144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7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7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7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7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7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7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7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7"/>
    </row>
    <row r="19" spans="1:18" s="6" customFormat="1" ht="31.5">
      <c r="A19" s="8"/>
      <c r="B19" s="14" t="s">
        <v>19</v>
      </c>
      <c r="C19" s="66">
        <v>11020200</v>
      </c>
      <c r="D19" s="41">
        <v>600</v>
      </c>
      <c r="E19" s="41">
        <v>100</v>
      </c>
      <c r="F19" s="40">
        <v>358.81</v>
      </c>
      <c r="G19" s="49">
        <f t="shared" si="0"/>
        <v>258.81</v>
      </c>
      <c r="H19" s="40">
        <f aca="true" t="shared" si="8" ref="H19:H28">F19/E19*100</f>
        <v>358.81</v>
      </c>
      <c r="I19" s="56">
        <f aca="true" t="shared" si="9" ref="I19:I28">F19-D19</f>
        <v>-241.19</v>
      </c>
      <c r="J19" s="56">
        <f aca="true" t="shared" si="10" ref="J19:J28">F19/D19*100</f>
        <v>59.80166666666666</v>
      </c>
      <c r="K19" s="56">
        <f>F19-194.7</f>
        <v>164.11</v>
      </c>
      <c r="L19" s="56">
        <f>F19/194.7*100</f>
        <v>184.28864920390345</v>
      </c>
      <c r="M19" s="40">
        <f t="shared" si="6"/>
        <v>100</v>
      </c>
      <c r="N19" s="40">
        <f t="shared" si="7"/>
        <v>358.81</v>
      </c>
      <c r="O19" s="53">
        <f t="shared" si="3"/>
        <v>258.81</v>
      </c>
      <c r="P19" s="56">
        <f aca="true" t="shared" si="11" ref="P19:P28">N19/M19*100</f>
        <v>358.81</v>
      </c>
      <c r="Q19" s="56">
        <f>N19-194.7</f>
        <v>164.11</v>
      </c>
      <c r="R19" s="137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/>
      <c r="R20" s="137"/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/>
      <c r="R21" s="137"/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/>
      <c r="R22" s="137"/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/>
      <c r="R23" s="137"/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/>
      <c r="R24" s="137"/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/>
      <c r="R25" s="137"/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/>
      <c r="R26" s="137"/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/>
      <c r="R27" s="137"/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/>
      <c r="R28" s="137"/>
    </row>
    <row r="29" spans="1:18" s="6" customFormat="1" ht="15.75">
      <c r="A29" s="8"/>
      <c r="B29" s="76" t="s">
        <v>184</v>
      </c>
      <c r="C29" s="145">
        <v>11010232</v>
      </c>
      <c r="D29" s="41"/>
      <c r="E29" s="41"/>
      <c r="F29" s="148">
        <v>358.79</v>
      </c>
      <c r="G29" s="49"/>
      <c r="H29" s="40"/>
      <c r="I29" s="56"/>
      <c r="J29" s="56"/>
      <c r="K29" s="147">
        <f>F29-160.03</f>
        <v>198.76000000000002</v>
      </c>
      <c r="L29" s="147">
        <f>F29/160.03*100</f>
        <v>224.20171217896646</v>
      </c>
      <c r="M29" s="40"/>
      <c r="N29" s="40">
        <f t="shared" si="7"/>
        <v>358.79</v>
      </c>
      <c r="O29" s="53"/>
      <c r="P29" s="56"/>
      <c r="Q29" s="56"/>
      <c r="R29" s="137"/>
    </row>
    <row r="30" spans="1:18" s="6" customFormat="1" ht="15.75">
      <c r="A30" s="8"/>
      <c r="B30" s="15" t="s">
        <v>29</v>
      </c>
      <c r="C30" s="66">
        <v>13030200</v>
      </c>
      <c r="D30" s="41">
        <v>0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7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7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7"/>
    </row>
    <row r="33" spans="1:18" s="6" customFormat="1" ht="15.75">
      <c r="A33" s="8"/>
      <c r="B33" s="15" t="s">
        <v>32</v>
      </c>
      <c r="C33" s="66">
        <v>13050000</v>
      </c>
      <c r="D33" s="41">
        <v>38945</v>
      </c>
      <c r="E33" s="41">
        <v>6400</v>
      </c>
      <c r="F33" s="40">
        <v>6293.29</v>
      </c>
      <c r="G33" s="49">
        <f aca="true" t="shared" si="14" ref="G33:G55">F33-E33</f>
        <v>-106.71000000000004</v>
      </c>
      <c r="H33" s="40">
        <f aca="true" t="shared" si="15" ref="H33:H55">F33/E33*100</f>
        <v>98.33265625</v>
      </c>
      <c r="I33" s="56">
        <f>F33-D33</f>
        <v>-32651.71</v>
      </c>
      <c r="J33" s="56">
        <f aca="true" t="shared" si="16" ref="J33:J55">F33/D33*100</f>
        <v>16.159429965335733</v>
      </c>
      <c r="K33" s="56">
        <f>F33-6172.8</f>
        <v>120.48999999999978</v>
      </c>
      <c r="L33" s="56">
        <f>F33/6172.8*100</f>
        <v>101.95195049248315</v>
      </c>
      <c r="M33" s="40">
        <f t="shared" si="6"/>
        <v>6400</v>
      </c>
      <c r="N33" s="40">
        <f t="shared" si="7"/>
        <v>6293.29</v>
      </c>
      <c r="O33" s="53">
        <f t="shared" si="3"/>
        <v>-106.71000000000004</v>
      </c>
      <c r="P33" s="56">
        <f aca="true" t="shared" si="17" ref="P33:P55">N33/M33*100</f>
        <v>98.33265625</v>
      </c>
      <c r="Q33" s="143">
        <f>N33-6172.8</f>
        <v>120.48999999999978</v>
      </c>
      <c r="R33" s="144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55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56">
        <f aca="true" t="shared" si="20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7"/>
        <v>#DIV/0!</v>
      </c>
      <c r="Q34" s="56"/>
      <c r="R34" s="137"/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56">
        <f t="shared" si="20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7"/>
        <v>#DIV/0!</v>
      </c>
      <c r="Q35" s="56"/>
      <c r="R35" s="137"/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56">
        <f t="shared" si="20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7"/>
        <v>#DIV/0!</v>
      </c>
      <c r="Q36" s="56"/>
      <c r="R36" s="137"/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56">
        <f t="shared" si="20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7"/>
        <v>#DIV/0!</v>
      </c>
      <c r="Q37" s="56"/>
      <c r="R37" s="137"/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56">
        <f t="shared" si="20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7"/>
        <v>#DIV/0!</v>
      </c>
      <c r="Q38" s="56"/>
      <c r="R38" s="137"/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56">
        <f t="shared" si="20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7"/>
        <v>#DIV/0!</v>
      </c>
      <c r="Q39" s="56"/>
      <c r="R39" s="137"/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56">
        <f t="shared" si="20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7"/>
        <v>#DIV/0!</v>
      </c>
      <c r="Q40" s="56"/>
      <c r="R40" s="137"/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56">
        <f t="shared" si="20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7"/>
        <v>#DIV/0!</v>
      </c>
      <c r="Q41" s="56"/>
      <c r="R41" s="137"/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56">
        <f t="shared" si="20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7"/>
        <v>#DIV/0!</v>
      </c>
      <c r="Q42" s="56"/>
      <c r="R42" s="137"/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56">
        <f t="shared" si="20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7"/>
        <v>#DIV/0!</v>
      </c>
      <c r="Q43" s="56"/>
      <c r="R43" s="137"/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56">
        <f t="shared" si="20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7"/>
        <v>#DIV/0!</v>
      </c>
      <c r="Q44" s="56"/>
      <c r="R44" s="137"/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56">
        <f t="shared" si="20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7"/>
        <v>#DIV/0!</v>
      </c>
      <c r="Q45" s="56"/>
      <c r="R45" s="137"/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56">
        <f t="shared" si="20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7"/>
        <v>#DIV/0!</v>
      </c>
      <c r="Q46" s="56"/>
      <c r="R46" s="137"/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56">
        <f t="shared" si="20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7"/>
        <v>#DIV/0!</v>
      </c>
      <c r="Q47" s="56"/>
      <c r="R47" s="137"/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56">
        <f t="shared" si="20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7"/>
        <v>#DIV/0!</v>
      </c>
      <c r="Q48" s="56"/>
      <c r="R48" s="137"/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56">
        <f t="shared" si="20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7"/>
        <v>#DIV/0!</v>
      </c>
      <c r="Q49" s="56"/>
      <c r="R49" s="137"/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56">
        <f t="shared" si="20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7"/>
        <v>#DIV/0!</v>
      </c>
      <c r="Q50" s="56"/>
      <c r="R50" s="137"/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56">
        <f t="shared" si="20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7"/>
        <v>#DIV/0!</v>
      </c>
      <c r="Q51" s="56"/>
      <c r="R51" s="137"/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56">
        <f t="shared" si="20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7"/>
        <v>#DIV/0!</v>
      </c>
      <c r="Q52" s="56"/>
      <c r="R52" s="137"/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56">
        <f t="shared" si="20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7"/>
        <v>#DIV/0!</v>
      </c>
      <c r="Q53" s="56"/>
      <c r="R53" s="137"/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56">
        <f t="shared" si="20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7"/>
        <v>#DIV/0!</v>
      </c>
      <c r="Q54" s="56"/>
      <c r="R54" s="137"/>
    </row>
    <row r="55" spans="1:18" s="6" customFormat="1" ht="15.75">
      <c r="A55" s="8"/>
      <c r="B55" s="76" t="s">
        <v>185</v>
      </c>
      <c r="C55" s="65"/>
      <c r="D55" s="146">
        <v>28580</v>
      </c>
      <c r="E55" s="146">
        <v>4750</v>
      </c>
      <c r="F55" s="148">
        <v>4687.91</v>
      </c>
      <c r="G55" s="146">
        <f t="shared" si="14"/>
        <v>-62.090000000000146</v>
      </c>
      <c r="H55" s="148">
        <f t="shared" si="15"/>
        <v>98.69284210526315</v>
      </c>
      <c r="I55" s="147">
        <f t="shared" si="18"/>
        <v>-23892.09</v>
      </c>
      <c r="J55" s="147">
        <f t="shared" si="16"/>
        <v>16.402764170748775</v>
      </c>
      <c r="K55" s="147">
        <f>F55-4574.19</f>
        <v>113.72000000000025</v>
      </c>
      <c r="L55" s="147">
        <f>F55/4574.19*100</f>
        <v>102.48612322618868</v>
      </c>
      <c r="M55" s="40">
        <f t="shared" si="6"/>
        <v>4750</v>
      </c>
      <c r="N55" s="40">
        <f t="shared" si="7"/>
        <v>4687.91</v>
      </c>
      <c r="O55" s="53">
        <f t="shared" si="3"/>
        <v>-62.090000000000146</v>
      </c>
      <c r="P55" s="56">
        <f t="shared" si="17"/>
        <v>98.69284210526315</v>
      </c>
      <c r="Q55" s="56"/>
      <c r="R55" s="137"/>
    </row>
    <row r="56" spans="1:18" s="6" customFormat="1" ht="15.75" customHeight="1">
      <c r="A56" s="8"/>
      <c r="B56" s="15" t="s">
        <v>53</v>
      </c>
      <c r="C56" s="66">
        <v>18000000</v>
      </c>
      <c r="D56" s="41">
        <v>3500</v>
      </c>
      <c r="E56" s="41">
        <v>555</v>
      </c>
      <c r="F56" s="40">
        <v>527.8</v>
      </c>
      <c r="G56" s="49">
        <f aca="true" t="shared" si="21" ref="G56:G72">F56-E56</f>
        <v>-27.200000000000045</v>
      </c>
      <c r="H56" s="40">
        <f aca="true" t="shared" si="22" ref="H56:H67">F56/E56*100</f>
        <v>95.09909909909909</v>
      </c>
      <c r="I56" s="56">
        <f aca="true" t="shared" si="23" ref="I56:I72">F56-D56</f>
        <v>-2972.2</v>
      </c>
      <c r="J56" s="56">
        <f aca="true" t="shared" si="24" ref="J56:J72">F56/D56*100</f>
        <v>15.079999999999998</v>
      </c>
      <c r="K56" s="56">
        <f>F56-501.4</f>
        <v>26.399999999999977</v>
      </c>
      <c r="L56" s="56">
        <f>F56/501.4*100</f>
        <v>105.26525727961706</v>
      </c>
      <c r="M56" s="40">
        <f t="shared" si="6"/>
        <v>555</v>
      </c>
      <c r="N56" s="40">
        <f t="shared" si="7"/>
        <v>527.8</v>
      </c>
      <c r="O56" s="53">
        <f aca="true" t="shared" si="25" ref="O56:O72">N56-M56</f>
        <v>-27.200000000000045</v>
      </c>
      <c r="P56" s="56">
        <f aca="true" t="shared" si="26" ref="P56:P67">N56/M56*100</f>
        <v>95.09909909909909</v>
      </c>
      <c r="Q56" s="56">
        <f>N56-501.4</f>
        <v>26.399999999999977</v>
      </c>
      <c r="R56" s="137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1"/>
        <v>0</v>
      </c>
      <c r="H57" s="40" t="e">
        <f t="shared" si="22"/>
        <v>#DIV/0!</v>
      </c>
      <c r="I57" s="56">
        <f t="shared" si="23"/>
        <v>0</v>
      </c>
      <c r="J57" s="56" t="e">
        <f t="shared" si="24"/>
        <v>#DIV/0!</v>
      </c>
      <c r="K57" s="56"/>
      <c r="L57" s="56">
        <f aca="true" t="shared" si="27" ref="L57:L67">F57</f>
        <v>0</v>
      </c>
      <c r="M57" s="40">
        <f t="shared" si="6"/>
        <v>0</v>
      </c>
      <c r="N57" s="40">
        <f t="shared" si="7"/>
        <v>0</v>
      </c>
      <c r="O57" s="53">
        <f t="shared" si="25"/>
        <v>0</v>
      </c>
      <c r="P57" s="56" t="e">
        <f t="shared" si="26"/>
        <v>#DIV/0!</v>
      </c>
      <c r="Q57" s="56"/>
      <c r="R57" s="137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1"/>
        <v>0</v>
      </c>
      <c r="H58" s="40" t="e">
        <f t="shared" si="22"/>
        <v>#DIV/0!</v>
      </c>
      <c r="I58" s="56">
        <f t="shared" si="23"/>
        <v>0</v>
      </c>
      <c r="J58" s="56" t="e">
        <f t="shared" si="24"/>
        <v>#DIV/0!</v>
      </c>
      <c r="K58" s="56"/>
      <c r="L58" s="56">
        <f t="shared" si="27"/>
        <v>0</v>
      </c>
      <c r="M58" s="40">
        <f t="shared" si="6"/>
        <v>0</v>
      </c>
      <c r="N58" s="40">
        <f t="shared" si="7"/>
        <v>0</v>
      </c>
      <c r="O58" s="53">
        <f t="shared" si="25"/>
        <v>0</v>
      </c>
      <c r="P58" s="56" t="e">
        <f t="shared" si="26"/>
        <v>#DIV/0!</v>
      </c>
      <c r="Q58" s="56"/>
      <c r="R58" s="137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1"/>
        <v>0</v>
      </c>
      <c r="H59" s="40" t="e">
        <f t="shared" si="22"/>
        <v>#DIV/0!</v>
      </c>
      <c r="I59" s="56">
        <f t="shared" si="23"/>
        <v>0</v>
      </c>
      <c r="J59" s="56" t="e">
        <f t="shared" si="24"/>
        <v>#DIV/0!</v>
      </c>
      <c r="K59" s="56"/>
      <c r="L59" s="56">
        <f t="shared" si="27"/>
        <v>0</v>
      </c>
      <c r="M59" s="40">
        <f t="shared" si="6"/>
        <v>0</v>
      </c>
      <c r="N59" s="40">
        <f t="shared" si="7"/>
        <v>0</v>
      </c>
      <c r="O59" s="53">
        <f t="shared" si="25"/>
        <v>0</v>
      </c>
      <c r="P59" s="56" t="e">
        <f t="shared" si="26"/>
        <v>#DIV/0!</v>
      </c>
      <c r="Q59" s="56"/>
      <c r="R59" s="137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1"/>
        <v>0</v>
      </c>
      <c r="H60" s="40" t="e">
        <f t="shared" si="22"/>
        <v>#DIV/0!</v>
      </c>
      <c r="I60" s="56">
        <f t="shared" si="23"/>
        <v>0</v>
      </c>
      <c r="J60" s="56" t="e">
        <f t="shared" si="24"/>
        <v>#DIV/0!</v>
      </c>
      <c r="K60" s="56"/>
      <c r="L60" s="56">
        <f t="shared" si="27"/>
        <v>0</v>
      </c>
      <c r="M60" s="40">
        <f t="shared" si="6"/>
        <v>0</v>
      </c>
      <c r="N60" s="40">
        <f t="shared" si="7"/>
        <v>0</v>
      </c>
      <c r="O60" s="53">
        <f t="shared" si="25"/>
        <v>0</v>
      </c>
      <c r="P60" s="56" t="e">
        <f t="shared" si="26"/>
        <v>#DIV/0!</v>
      </c>
      <c r="Q60" s="56"/>
      <c r="R60" s="137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1"/>
        <v>0</v>
      </c>
      <c r="H61" s="40" t="e">
        <f t="shared" si="22"/>
        <v>#DIV/0!</v>
      </c>
      <c r="I61" s="56">
        <f t="shared" si="23"/>
        <v>0</v>
      </c>
      <c r="J61" s="56" t="e">
        <f t="shared" si="24"/>
        <v>#DIV/0!</v>
      </c>
      <c r="K61" s="56"/>
      <c r="L61" s="56">
        <f t="shared" si="27"/>
        <v>0</v>
      </c>
      <c r="M61" s="40">
        <f t="shared" si="6"/>
        <v>0</v>
      </c>
      <c r="N61" s="40">
        <f t="shared" si="7"/>
        <v>0</v>
      </c>
      <c r="O61" s="53">
        <f t="shared" si="25"/>
        <v>0</v>
      </c>
      <c r="P61" s="56" t="e">
        <f t="shared" si="26"/>
        <v>#DIV/0!</v>
      </c>
      <c r="Q61" s="56"/>
      <c r="R61" s="137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1"/>
        <v>0</v>
      </c>
      <c r="H62" s="40" t="e">
        <f t="shared" si="22"/>
        <v>#DIV/0!</v>
      </c>
      <c r="I62" s="56">
        <f t="shared" si="23"/>
        <v>0</v>
      </c>
      <c r="J62" s="56" t="e">
        <f t="shared" si="24"/>
        <v>#DIV/0!</v>
      </c>
      <c r="K62" s="56"/>
      <c r="L62" s="56">
        <f t="shared" si="27"/>
        <v>0</v>
      </c>
      <c r="M62" s="40">
        <f t="shared" si="6"/>
        <v>0</v>
      </c>
      <c r="N62" s="40">
        <f t="shared" si="7"/>
        <v>0</v>
      </c>
      <c r="O62" s="53">
        <f t="shared" si="25"/>
        <v>0</v>
      </c>
      <c r="P62" s="56" t="e">
        <f t="shared" si="26"/>
        <v>#DIV/0!</v>
      </c>
      <c r="Q62" s="56"/>
      <c r="R62" s="137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1"/>
        <v>0</v>
      </c>
      <c r="H63" s="40" t="e">
        <f t="shared" si="22"/>
        <v>#DIV/0!</v>
      </c>
      <c r="I63" s="56">
        <f t="shared" si="23"/>
        <v>0</v>
      </c>
      <c r="J63" s="56" t="e">
        <f t="shared" si="24"/>
        <v>#DIV/0!</v>
      </c>
      <c r="K63" s="56"/>
      <c r="L63" s="56">
        <f t="shared" si="27"/>
        <v>0</v>
      </c>
      <c r="M63" s="40">
        <f t="shared" si="6"/>
        <v>0</v>
      </c>
      <c r="N63" s="40">
        <f t="shared" si="7"/>
        <v>0</v>
      </c>
      <c r="O63" s="53">
        <f t="shared" si="25"/>
        <v>0</v>
      </c>
      <c r="P63" s="56" t="e">
        <f t="shared" si="26"/>
        <v>#DIV/0!</v>
      </c>
      <c r="Q63" s="56"/>
      <c r="R63" s="137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1"/>
        <v>0</v>
      </c>
      <c r="H64" s="40" t="e">
        <f t="shared" si="22"/>
        <v>#DIV/0!</v>
      </c>
      <c r="I64" s="56">
        <f t="shared" si="23"/>
        <v>0</v>
      </c>
      <c r="J64" s="56" t="e">
        <f t="shared" si="24"/>
        <v>#DIV/0!</v>
      </c>
      <c r="K64" s="56"/>
      <c r="L64" s="56">
        <f t="shared" si="27"/>
        <v>0</v>
      </c>
      <c r="M64" s="40">
        <f t="shared" si="6"/>
        <v>0</v>
      </c>
      <c r="N64" s="40">
        <f t="shared" si="7"/>
        <v>0</v>
      </c>
      <c r="O64" s="53">
        <f t="shared" si="25"/>
        <v>0</v>
      </c>
      <c r="P64" s="56" t="e">
        <f t="shared" si="26"/>
        <v>#DIV/0!</v>
      </c>
      <c r="Q64" s="56"/>
      <c r="R64" s="137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1"/>
        <v>0</v>
      </c>
      <c r="H65" s="40" t="e">
        <f t="shared" si="22"/>
        <v>#DIV/0!</v>
      </c>
      <c r="I65" s="56">
        <f t="shared" si="23"/>
        <v>0</v>
      </c>
      <c r="J65" s="56" t="e">
        <f t="shared" si="24"/>
        <v>#DIV/0!</v>
      </c>
      <c r="K65" s="56"/>
      <c r="L65" s="56">
        <f t="shared" si="27"/>
        <v>0</v>
      </c>
      <c r="M65" s="40">
        <f t="shared" si="6"/>
        <v>0</v>
      </c>
      <c r="N65" s="40">
        <f t="shared" si="7"/>
        <v>0</v>
      </c>
      <c r="O65" s="53">
        <f t="shared" si="25"/>
        <v>0</v>
      </c>
      <c r="P65" s="56" t="e">
        <f t="shared" si="26"/>
        <v>#DIV/0!</v>
      </c>
      <c r="Q65" s="56"/>
      <c r="R65" s="137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1"/>
        <v>0</v>
      </c>
      <c r="H66" s="40" t="e">
        <f t="shared" si="22"/>
        <v>#DIV/0!</v>
      </c>
      <c r="I66" s="56">
        <f t="shared" si="23"/>
        <v>0</v>
      </c>
      <c r="J66" s="56" t="e">
        <f t="shared" si="24"/>
        <v>#DIV/0!</v>
      </c>
      <c r="K66" s="56"/>
      <c r="L66" s="56">
        <f t="shared" si="27"/>
        <v>0</v>
      </c>
      <c r="M66" s="40">
        <f t="shared" si="6"/>
        <v>0</v>
      </c>
      <c r="N66" s="40">
        <f t="shared" si="7"/>
        <v>0</v>
      </c>
      <c r="O66" s="53">
        <f t="shared" si="25"/>
        <v>0</v>
      </c>
      <c r="P66" s="56" t="e">
        <f t="shared" si="26"/>
        <v>#DIV/0!</v>
      </c>
      <c r="Q66" s="56"/>
      <c r="R66" s="137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1"/>
        <v>0</v>
      </c>
      <c r="H67" s="40" t="e">
        <f t="shared" si="22"/>
        <v>#DIV/0!</v>
      </c>
      <c r="I67" s="56">
        <f t="shared" si="23"/>
        <v>0</v>
      </c>
      <c r="J67" s="56" t="e">
        <f t="shared" si="24"/>
        <v>#DIV/0!</v>
      </c>
      <c r="K67" s="56"/>
      <c r="L67" s="56">
        <f t="shared" si="27"/>
        <v>0</v>
      </c>
      <c r="M67" s="40">
        <f t="shared" si="6"/>
        <v>0</v>
      </c>
      <c r="N67" s="40">
        <f t="shared" si="7"/>
        <v>0</v>
      </c>
      <c r="O67" s="53">
        <f t="shared" si="25"/>
        <v>0</v>
      </c>
      <c r="P67" s="56" t="e">
        <f t="shared" si="26"/>
        <v>#DIV/0!</v>
      </c>
      <c r="Q67" s="56"/>
      <c r="R67" s="137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</v>
      </c>
      <c r="F68" s="40">
        <v>0.15</v>
      </c>
      <c r="G68" s="49">
        <f t="shared" si="21"/>
        <v>0.15</v>
      </c>
      <c r="H68" s="40"/>
      <c r="I68" s="56">
        <f t="shared" si="23"/>
        <v>0.04999999999999999</v>
      </c>
      <c r="J68" s="56">
        <f t="shared" si="24"/>
        <v>149.99999999999997</v>
      </c>
      <c r="K68" s="56">
        <f>F68-0.2</f>
        <v>-0.05000000000000002</v>
      </c>
      <c r="L68" s="56"/>
      <c r="M68" s="40">
        <f t="shared" si="6"/>
        <v>0</v>
      </c>
      <c r="N68" s="40">
        <f t="shared" si="7"/>
        <v>0.15</v>
      </c>
      <c r="O68" s="53">
        <f t="shared" si="25"/>
        <v>0.15</v>
      </c>
      <c r="P68" s="56"/>
      <c r="Q68" s="56">
        <f>N68-0.2</f>
        <v>-0.05000000000000002</v>
      </c>
      <c r="R68" s="137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1"/>
        <v>0</v>
      </c>
      <c r="H69" s="40" t="e">
        <f>F69/E69*100</f>
        <v>#DIV/0!</v>
      </c>
      <c r="I69" s="56">
        <f t="shared" si="23"/>
        <v>0</v>
      </c>
      <c r="J69" s="56" t="e">
        <f t="shared" si="24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5"/>
        <v>#REF!</v>
      </c>
      <c r="P69" s="56" t="e">
        <f>N69/M69*100</f>
        <v>#REF!</v>
      </c>
      <c r="Q69" s="56"/>
      <c r="R69" s="137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1"/>
        <v>0</v>
      </c>
      <c r="H70" s="40" t="e">
        <f>F70/E70*100</f>
        <v>#DIV/0!</v>
      </c>
      <c r="I70" s="56">
        <f t="shared" si="23"/>
        <v>0</v>
      </c>
      <c r="J70" s="56" t="e">
        <f t="shared" si="24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5"/>
        <v>#REF!</v>
      </c>
      <c r="P70" s="56" t="e">
        <f>N70/M70*100</f>
        <v>#REF!</v>
      </c>
      <c r="Q70" s="56"/>
      <c r="R70" s="137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1"/>
        <v>0</v>
      </c>
      <c r="H71" s="40" t="e">
        <f>F71/E71*100</f>
        <v>#DIV/0!</v>
      </c>
      <c r="I71" s="56">
        <f t="shared" si="23"/>
        <v>-4590</v>
      </c>
      <c r="J71" s="56">
        <f t="shared" si="24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5"/>
        <v>#REF!</v>
      </c>
      <c r="P71" s="56" t="e">
        <f>F71/M71*100</f>
        <v>#REF!</v>
      </c>
      <c r="Q71" s="56"/>
      <c r="R71" s="137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1"/>
        <v>0</v>
      </c>
      <c r="H72" s="40" t="e">
        <f>F72/E72*100</f>
        <v>#DIV/0!</v>
      </c>
      <c r="I72" s="56">
        <f t="shared" si="23"/>
        <v>-4410</v>
      </c>
      <c r="J72" s="56">
        <f t="shared" si="24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5"/>
        <v>#REF!</v>
      </c>
      <c r="P72" s="56" t="e">
        <f>F72/M72*100</f>
        <v>#REF!</v>
      </c>
      <c r="Q72" s="56"/>
      <c r="R72" s="137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7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7706.1</v>
      </c>
      <c r="E74" s="22">
        <f>E77+E86+E87+E88+E89+E95+E96+E97+E99+E103</f>
        <v>1056.1</v>
      </c>
      <c r="F74" s="22">
        <f>F77+F86+F88+F89+F94+F95+F96+F97+F99+F103+F87</f>
        <v>1017.63</v>
      </c>
      <c r="G74" s="50">
        <f aca="true" t="shared" si="28" ref="G74:G92">F74-E74</f>
        <v>-38.469999999999914</v>
      </c>
      <c r="H74" s="51">
        <f aca="true" t="shared" si="29" ref="H74:H86">F74/E74*100</f>
        <v>96.3573525234353</v>
      </c>
      <c r="I74" s="36">
        <f aca="true" t="shared" si="30" ref="I74:I92">F74-D74</f>
        <v>-6688.47</v>
      </c>
      <c r="J74" s="36">
        <f aca="true" t="shared" si="31" ref="J74:J92">F74/D74*100</f>
        <v>13.205512516058707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1056.1</v>
      </c>
      <c r="N74" s="22">
        <f>N77+N86+N88+N89+N94+N95+N96+N97+N99+N32+N103+N87</f>
        <v>1017.63</v>
      </c>
      <c r="O74" s="55">
        <f aca="true" t="shared" si="32" ref="O74:O92">N74-M74</f>
        <v>-38.469999999999914</v>
      </c>
      <c r="P74" s="36">
        <f>N74/M74*100</f>
        <v>96.3573525234353</v>
      </c>
      <c r="Q74" s="36">
        <f>N74-920</f>
        <v>97.63</v>
      </c>
      <c r="R74" s="138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8"/>
        <v>#REF!</v>
      </c>
      <c r="H75" s="40" t="e">
        <f t="shared" si="29"/>
        <v>#REF!</v>
      </c>
      <c r="I75" s="56" t="e">
        <f t="shared" si="30"/>
        <v>#REF!</v>
      </c>
      <c r="J75" s="56" t="e">
        <f t="shared" si="31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2"/>
        <v>#REF!</v>
      </c>
      <c r="P75" s="56" t="e">
        <f>F75/M75*100</f>
        <v>#REF!</v>
      </c>
      <c r="Q75" s="56"/>
      <c r="R75" s="137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8"/>
        <v>0</v>
      </c>
      <c r="H76" s="40" t="e">
        <f t="shared" si="29"/>
        <v>#DIV/0!</v>
      </c>
      <c r="I76" s="56" t="e">
        <f t="shared" si="30"/>
        <v>#REF!</v>
      </c>
      <c r="J76" s="56" t="e">
        <f t="shared" si="31"/>
        <v>#REF!</v>
      </c>
      <c r="K76" s="56"/>
      <c r="L76" s="56"/>
      <c r="M76" s="59"/>
      <c r="N76" s="59"/>
      <c r="O76" s="53">
        <f t="shared" si="32"/>
        <v>0</v>
      </c>
      <c r="P76" s="56" t="e">
        <f>F76/M76*100</f>
        <v>#DIV/0!</v>
      </c>
      <c r="Q76" s="56"/>
      <c r="R76" s="137"/>
    </row>
    <row r="77" spans="1:18" s="6" customFormat="1" ht="47.25">
      <c r="A77" s="8"/>
      <c r="B77" s="67" t="s">
        <v>106</v>
      </c>
      <c r="C77" s="66">
        <v>21010301</v>
      </c>
      <c r="D77" s="41">
        <v>671</v>
      </c>
      <c r="E77" s="41">
        <v>1</v>
      </c>
      <c r="F77" s="57">
        <v>0</v>
      </c>
      <c r="G77" s="49">
        <f t="shared" si="28"/>
        <v>-1</v>
      </c>
      <c r="H77" s="40">
        <f t="shared" si="29"/>
        <v>0</v>
      </c>
      <c r="I77" s="56">
        <f t="shared" si="30"/>
        <v>-671</v>
      </c>
      <c r="J77" s="56">
        <f t="shared" si="31"/>
        <v>0</v>
      </c>
      <c r="K77" s="56">
        <f>F77-0.9</f>
        <v>-0.9</v>
      </c>
      <c r="L77" s="56">
        <f>F77/0.9*100</f>
        <v>0</v>
      </c>
      <c r="M77" s="40">
        <f>E77</f>
        <v>1</v>
      </c>
      <c r="N77" s="40">
        <f>F77</f>
        <v>0</v>
      </c>
      <c r="O77" s="53">
        <f t="shared" si="32"/>
        <v>-1</v>
      </c>
      <c r="P77" s="56">
        <f aca="true" t="shared" si="33" ref="P77:P86">N77/M77*100</f>
        <v>0</v>
      </c>
      <c r="Q77" s="56">
        <f>N77-0.9</f>
        <v>-0.9</v>
      </c>
      <c r="R77" s="137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8"/>
        <v>0</v>
      </c>
      <c r="H78" s="40" t="e">
        <f t="shared" si="29"/>
        <v>#DIV/0!</v>
      </c>
      <c r="I78" s="56">
        <f t="shared" si="30"/>
        <v>0</v>
      </c>
      <c r="J78" s="56" t="e">
        <f t="shared" si="31"/>
        <v>#DIV/0!</v>
      </c>
      <c r="K78" s="56"/>
      <c r="L78" s="56">
        <f aca="true" t="shared" si="34" ref="L78:L101">F78</f>
        <v>0</v>
      </c>
      <c r="M78" s="40">
        <f aca="true" t="shared" si="35" ref="M78:M105">E78</f>
        <v>0</v>
      </c>
      <c r="N78" s="40">
        <f aca="true" t="shared" si="36" ref="N78:N105">F78</f>
        <v>0</v>
      </c>
      <c r="O78" s="53">
        <f t="shared" si="32"/>
        <v>0</v>
      </c>
      <c r="P78" s="56" t="e">
        <f t="shared" si="33"/>
        <v>#DIV/0!</v>
      </c>
      <c r="Q78" s="56"/>
      <c r="R78" s="137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8"/>
        <v>0</v>
      </c>
      <c r="H79" s="40" t="e">
        <f t="shared" si="29"/>
        <v>#DIV/0!</v>
      </c>
      <c r="I79" s="56">
        <f t="shared" si="30"/>
        <v>0</v>
      </c>
      <c r="J79" s="56" t="e">
        <f t="shared" si="31"/>
        <v>#DIV/0!</v>
      </c>
      <c r="K79" s="56"/>
      <c r="L79" s="56">
        <f t="shared" si="34"/>
        <v>0</v>
      </c>
      <c r="M79" s="40">
        <f t="shared" si="35"/>
        <v>0</v>
      </c>
      <c r="N79" s="40">
        <f t="shared" si="36"/>
        <v>0</v>
      </c>
      <c r="O79" s="53">
        <f t="shared" si="32"/>
        <v>0</v>
      </c>
      <c r="P79" s="56" t="e">
        <f t="shared" si="33"/>
        <v>#DIV/0!</v>
      </c>
      <c r="Q79" s="56"/>
      <c r="R79" s="137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8"/>
        <v>0</v>
      </c>
      <c r="H80" s="40" t="e">
        <f t="shared" si="29"/>
        <v>#DIV/0!</v>
      </c>
      <c r="I80" s="56">
        <f t="shared" si="30"/>
        <v>0</v>
      </c>
      <c r="J80" s="56" t="e">
        <f t="shared" si="31"/>
        <v>#DIV/0!</v>
      </c>
      <c r="K80" s="56"/>
      <c r="L80" s="56">
        <f t="shared" si="34"/>
        <v>0</v>
      </c>
      <c r="M80" s="40">
        <f t="shared" si="35"/>
        <v>0</v>
      </c>
      <c r="N80" s="40">
        <f t="shared" si="36"/>
        <v>0</v>
      </c>
      <c r="O80" s="53">
        <f t="shared" si="32"/>
        <v>0</v>
      </c>
      <c r="P80" s="56" t="e">
        <f t="shared" si="33"/>
        <v>#DIV/0!</v>
      </c>
      <c r="Q80" s="56"/>
      <c r="R80" s="137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8"/>
        <v>0</v>
      </c>
      <c r="H81" s="40" t="e">
        <f t="shared" si="29"/>
        <v>#DIV/0!</v>
      </c>
      <c r="I81" s="56">
        <f t="shared" si="30"/>
        <v>0</v>
      </c>
      <c r="J81" s="56" t="e">
        <f t="shared" si="31"/>
        <v>#DIV/0!</v>
      </c>
      <c r="K81" s="56"/>
      <c r="L81" s="56">
        <f t="shared" si="34"/>
        <v>0</v>
      </c>
      <c r="M81" s="40">
        <f t="shared" si="35"/>
        <v>0</v>
      </c>
      <c r="N81" s="40">
        <f t="shared" si="36"/>
        <v>0</v>
      </c>
      <c r="O81" s="53">
        <f t="shared" si="32"/>
        <v>0</v>
      </c>
      <c r="P81" s="56" t="e">
        <f t="shared" si="33"/>
        <v>#DIV/0!</v>
      </c>
      <c r="Q81" s="56"/>
      <c r="R81" s="137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8"/>
        <v>0</v>
      </c>
      <c r="H82" s="40" t="e">
        <f t="shared" si="29"/>
        <v>#DIV/0!</v>
      </c>
      <c r="I82" s="56">
        <f t="shared" si="30"/>
        <v>0</v>
      </c>
      <c r="J82" s="56" t="e">
        <f t="shared" si="31"/>
        <v>#DIV/0!</v>
      </c>
      <c r="K82" s="56"/>
      <c r="L82" s="56">
        <f t="shared" si="34"/>
        <v>0</v>
      </c>
      <c r="M82" s="40">
        <f t="shared" si="35"/>
        <v>0</v>
      </c>
      <c r="N82" s="40">
        <f t="shared" si="36"/>
        <v>0</v>
      </c>
      <c r="O82" s="53">
        <f t="shared" si="32"/>
        <v>0</v>
      </c>
      <c r="P82" s="56" t="e">
        <f t="shared" si="33"/>
        <v>#DIV/0!</v>
      </c>
      <c r="Q82" s="56"/>
      <c r="R82" s="137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8"/>
        <v>0</v>
      </c>
      <c r="H83" s="40" t="e">
        <f t="shared" si="29"/>
        <v>#DIV/0!</v>
      </c>
      <c r="I83" s="56">
        <f t="shared" si="30"/>
        <v>0</v>
      </c>
      <c r="J83" s="56" t="e">
        <f t="shared" si="31"/>
        <v>#DIV/0!</v>
      </c>
      <c r="K83" s="56"/>
      <c r="L83" s="56">
        <f t="shared" si="34"/>
        <v>0</v>
      </c>
      <c r="M83" s="40">
        <f t="shared" si="35"/>
        <v>0</v>
      </c>
      <c r="N83" s="40">
        <f t="shared" si="36"/>
        <v>0</v>
      </c>
      <c r="O83" s="53">
        <f t="shared" si="32"/>
        <v>0</v>
      </c>
      <c r="P83" s="56" t="e">
        <f t="shared" si="33"/>
        <v>#DIV/0!</v>
      </c>
      <c r="Q83" s="56"/>
      <c r="R83" s="137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8"/>
        <v>0</v>
      </c>
      <c r="H84" s="40" t="e">
        <f t="shared" si="29"/>
        <v>#DIV/0!</v>
      </c>
      <c r="I84" s="56">
        <f t="shared" si="30"/>
        <v>0</v>
      </c>
      <c r="J84" s="56" t="e">
        <f t="shared" si="31"/>
        <v>#DIV/0!</v>
      </c>
      <c r="K84" s="56"/>
      <c r="L84" s="56">
        <f t="shared" si="34"/>
        <v>0</v>
      </c>
      <c r="M84" s="40">
        <f t="shared" si="35"/>
        <v>0</v>
      </c>
      <c r="N84" s="40">
        <f t="shared" si="36"/>
        <v>0</v>
      </c>
      <c r="O84" s="53">
        <f t="shared" si="32"/>
        <v>0</v>
      </c>
      <c r="P84" s="56" t="e">
        <f t="shared" si="33"/>
        <v>#DIV/0!</v>
      </c>
      <c r="Q84" s="56"/>
      <c r="R84" s="137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8"/>
        <v>0</v>
      </c>
      <c r="H85" s="40" t="e">
        <f t="shared" si="29"/>
        <v>#DIV/0!</v>
      </c>
      <c r="I85" s="56">
        <f t="shared" si="30"/>
        <v>0</v>
      </c>
      <c r="J85" s="56" t="e">
        <f t="shared" si="31"/>
        <v>#DIV/0!</v>
      </c>
      <c r="K85" s="56"/>
      <c r="L85" s="56">
        <f t="shared" si="34"/>
        <v>0</v>
      </c>
      <c r="M85" s="40">
        <f t="shared" si="35"/>
        <v>0</v>
      </c>
      <c r="N85" s="40">
        <f t="shared" si="36"/>
        <v>0</v>
      </c>
      <c r="O85" s="53">
        <f t="shared" si="32"/>
        <v>0</v>
      </c>
      <c r="P85" s="56" t="e">
        <f t="shared" si="33"/>
        <v>#DIV/0!</v>
      </c>
      <c r="Q85" s="56"/>
      <c r="R85" s="137"/>
    </row>
    <row r="86" spans="1:18" s="6" customFormat="1" ht="31.5">
      <c r="A86" s="8"/>
      <c r="B86" s="75" t="s">
        <v>133</v>
      </c>
      <c r="C86" s="64">
        <v>21050000</v>
      </c>
      <c r="D86" s="41">
        <v>700</v>
      </c>
      <c r="E86" s="41">
        <v>0</v>
      </c>
      <c r="F86" s="57">
        <v>0</v>
      </c>
      <c r="G86" s="49">
        <f t="shared" si="28"/>
        <v>0</v>
      </c>
      <c r="H86" s="40" t="e">
        <f t="shared" si="29"/>
        <v>#DIV/0!</v>
      </c>
      <c r="I86" s="56">
        <f t="shared" si="30"/>
        <v>-700</v>
      </c>
      <c r="J86" s="56">
        <f t="shared" si="31"/>
        <v>0</v>
      </c>
      <c r="K86" s="56">
        <f>F86-0</f>
        <v>0</v>
      </c>
      <c r="L86" s="56" t="e">
        <f>F86/0*100</f>
        <v>#DIV/0!</v>
      </c>
      <c r="M86" s="40">
        <f t="shared" si="35"/>
        <v>0</v>
      </c>
      <c r="N86" s="40">
        <f t="shared" si="36"/>
        <v>0</v>
      </c>
      <c r="O86" s="53">
        <f t="shared" si="32"/>
        <v>0</v>
      </c>
      <c r="P86" s="56" t="e">
        <f t="shared" si="33"/>
        <v>#DIV/0!</v>
      </c>
      <c r="Q86" s="56">
        <f>N86-0</f>
        <v>0</v>
      </c>
      <c r="R86" s="137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5"/>
        <v>0</v>
      </c>
      <c r="N87" s="40">
        <f t="shared" si="36"/>
        <v>4.23</v>
      </c>
      <c r="O87" s="53"/>
      <c r="P87" s="56"/>
      <c r="Q87" s="56"/>
      <c r="R87" s="137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0.1</v>
      </c>
      <c r="F88" s="57">
        <v>0</v>
      </c>
      <c r="G88" s="49">
        <f t="shared" si="28"/>
        <v>-0.1</v>
      </c>
      <c r="H88" s="40">
        <f>F88/E88*100</f>
        <v>0</v>
      </c>
      <c r="I88" s="56">
        <f t="shared" si="30"/>
        <v>-5.1</v>
      </c>
      <c r="J88" s="56">
        <f t="shared" si="31"/>
        <v>0</v>
      </c>
      <c r="K88" s="56">
        <f>F88-0</f>
        <v>0</v>
      </c>
      <c r="L88" s="56" t="e">
        <f>F88/0*100</f>
        <v>#DIV/0!</v>
      </c>
      <c r="M88" s="40">
        <f t="shared" si="35"/>
        <v>0.1</v>
      </c>
      <c r="N88" s="40">
        <f t="shared" si="36"/>
        <v>0</v>
      </c>
      <c r="O88" s="53">
        <f t="shared" si="32"/>
        <v>-0.1</v>
      </c>
      <c r="P88" s="56">
        <f>N88/M88*100</f>
        <v>0</v>
      </c>
      <c r="Q88" s="56">
        <f>N88-0</f>
        <v>0</v>
      </c>
      <c r="R88" s="137"/>
    </row>
    <row r="89" spans="1:18" s="6" customFormat="1" ht="15.75">
      <c r="A89" s="8"/>
      <c r="B89" s="15" t="s">
        <v>90</v>
      </c>
      <c r="C89" s="104">
        <v>21081100</v>
      </c>
      <c r="D89" s="41">
        <v>60</v>
      </c>
      <c r="E89" s="41">
        <v>10</v>
      </c>
      <c r="F89" s="57">
        <v>9.02</v>
      </c>
      <c r="G89" s="49">
        <f t="shared" si="28"/>
        <v>-0.9800000000000004</v>
      </c>
      <c r="H89" s="40">
        <f>F89/E89*100</f>
        <v>90.19999999999999</v>
      </c>
      <c r="I89" s="56">
        <f t="shared" si="30"/>
        <v>-50.980000000000004</v>
      </c>
      <c r="J89" s="56">
        <f t="shared" si="31"/>
        <v>15.033333333333331</v>
      </c>
      <c r="K89" s="56">
        <f>F89-11.9</f>
        <v>-2.880000000000001</v>
      </c>
      <c r="L89" s="56">
        <f>F89/11.9*100</f>
        <v>75.7983193277311</v>
      </c>
      <c r="M89" s="40">
        <f t="shared" si="35"/>
        <v>10</v>
      </c>
      <c r="N89" s="40">
        <f t="shared" si="36"/>
        <v>9.02</v>
      </c>
      <c r="O89" s="53">
        <f t="shared" si="32"/>
        <v>-0.9800000000000004</v>
      </c>
      <c r="P89" s="56">
        <f>N89/M89*100</f>
        <v>90.19999999999999</v>
      </c>
      <c r="Q89" s="56">
        <f>N89-11.9</f>
        <v>-2.880000000000001</v>
      </c>
      <c r="R89" s="137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8"/>
        <v>0</v>
      </c>
      <c r="H90" s="40" t="e">
        <f>F90/E90*100</f>
        <v>#DIV/0!</v>
      </c>
      <c r="I90" s="56">
        <f t="shared" si="30"/>
        <v>0</v>
      </c>
      <c r="J90" s="56" t="e">
        <f t="shared" si="31"/>
        <v>#DIV/0!</v>
      </c>
      <c r="K90" s="56"/>
      <c r="L90" s="56">
        <f t="shared" si="34"/>
        <v>0</v>
      </c>
      <c r="M90" s="40">
        <f t="shared" si="35"/>
        <v>0</v>
      </c>
      <c r="N90" s="40">
        <f t="shared" si="36"/>
        <v>0</v>
      </c>
      <c r="O90" s="53">
        <f t="shared" si="32"/>
        <v>0</v>
      </c>
      <c r="P90" s="56" t="e">
        <f>N90/M90*100</f>
        <v>#DIV/0!</v>
      </c>
      <c r="Q90" s="56"/>
      <c r="R90" s="137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8"/>
        <v>0</v>
      </c>
      <c r="H91" s="40" t="e">
        <f>F91/E91*100</f>
        <v>#DIV/0!</v>
      </c>
      <c r="I91" s="56">
        <f t="shared" si="30"/>
        <v>0</v>
      </c>
      <c r="J91" s="56" t="e">
        <f t="shared" si="31"/>
        <v>#DIV/0!</v>
      </c>
      <c r="K91" s="56"/>
      <c r="L91" s="56">
        <f t="shared" si="34"/>
        <v>0</v>
      </c>
      <c r="M91" s="40">
        <f t="shared" si="35"/>
        <v>0</v>
      </c>
      <c r="N91" s="40">
        <f t="shared" si="36"/>
        <v>0</v>
      </c>
      <c r="O91" s="53">
        <f t="shared" si="32"/>
        <v>0</v>
      </c>
      <c r="P91" s="56" t="e">
        <f>N91/M91*100</f>
        <v>#DIV/0!</v>
      </c>
      <c r="Q91" s="56"/>
      <c r="R91" s="137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8"/>
        <v>0</v>
      </c>
      <c r="H92" s="40" t="e">
        <f>F92/E92*100</f>
        <v>#DIV/0!</v>
      </c>
      <c r="I92" s="56">
        <f t="shared" si="30"/>
        <v>0</v>
      </c>
      <c r="J92" s="56" t="e">
        <f t="shared" si="31"/>
        <v>#DIV/0!</v>
      </c>
      <c r="K92" s="56"/>
      <c r="L92" s="56">
        <f t="shared" si="34"/>
        <v>0</v>
      </c>
      <c r="M92" s="40">
        <f t="shared" si="35"/>
        <v>0</v>
      </c>
      <c r="N92" s="40">
        <f t="shared" si="36"/>
        <v>0</v>
      </c>
      <c r="O92" s="53">
        <f t="shared" si="32"/>
        <v>0</v>
      </c>
      <c r="P92" s="56" t="e">
        <f>N92/M92*100</f>
        <v>#DIV/0!</v>
      </c>
      <c r="Q92" s="56"/>
      <c r="R92" s="137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4"/>
        <v>0</v>
      </c>
      <c r="M93" s="40">
        <f t="shared" si="35"/>
        <v>0</v>
      </c>
      <c r="N93" s="40">
        <f t="shared" si="36"/>
        <v>0</v>
      </c>
      <c r="O93" s="53"/>
      <c r="P93" s="56"/>
      <c r="Q93" s="56"/>
      <c r="R93" s="137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7" ref="G94:G101">F94-E94</f>
        <v>0</v>
      </c>
      <c r="H94" s="40"/>
      <c r="I94" s="56">
        <f aca="true" t="shared" si="38" ref="I94:I100">F94-D94</f>
        <v>0</v>
      </c>
      <c r="J94" s="56"/>
      <c r="K94" s="56"/>
      <c r="L94" s="56">
        <f t="shared" si="34"/>
        <v>0</v>
      </c>
      <c r="M94" s="40">
        <f t="shared" si="35"/>
        <v>0</v>
      </c>
      <c r="N94" s="40">
        <f t="shared" si="36"/>
        <v>0</v>
      </c>
      <c r="O94" s="53">
        <f aca="true" t="shared" si="39" ref="O94:O101">N94-M94</f>
        <v>0</v>
      </c>
      <c r="P94" s="56"/>
      <c r="Q94" s="56"/>
      <c r="R94" s="137"/>
    </row>
    <row r="95" spans="1:18" s="6" customFormat="1" ht="31.5">
      <c r="A95" s="8"/>
      <c r="B95" s="15" t="s">
        <v>78</v>
      </c>
      <c r="C95" s="74">
        <v>22080401</v>
      </c>
      <c r="D95" s="41">
        <v>3780</v>
      </c>
      <c r="E95" s="41">
        <v>630</v>
      </c>
      <c r="F95" s="57">
        <v>647.49</v>
      </c>
      <c r="G95" s="49">
        <f t="shared" si="37"/>
        <v>17.49000000000001</v>
      </c>
      <c r="H95" s="40">
        <f>F95/E95*100</f>
        <v>102.7761904761905</v>
      </c>
      <c r="I95" s="56">
        <f t="shared" si="38"/>
        <v>-3132.51</v>
      </c>
      <c r="J95" s="56">
        <f>F95/D95*100</f>
        <v>17.12936507936508</v>
      </c>
      <c r="K95" s="56">
        <f>F95-638.2</f>
        <v>9.289999999999964</v>
      </c>
      <c r="L95" s="56">
        <f>F95/638.2*100</f>
        <v>101.45565653400188</v>
      </c>
      <c r="M95" s="40">
        <f t="shared" si="35"/>
        <v>630</v>
      </c>
      <c r="N95" s="40">
        <f t="shared" si="36"/>
        <v>647.49</v>
      </c>
      <c r="O95" s="53">
        <f t="shared" si="39"/>
        <v>17.49000000000001</v>
      </c>
      <c r="P95" s="56">
        <f>N95/M95*100</f>
        <v>102.7761904761905</v>
      </c>
      <c r="Q95" s="56">
        <f>N95-638.2</f>
        <v>9.289999999999964</v>
      </c>
      <c r="R95" s="137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510</v>
      </c>
      <c r="E96" s="41">
        <v>85</v>
      </c>
      <c r="F96" s="57">
        <v>79.51</v>
      </c>
      <c r="G96" s="49">
        <f t="shared" si="37"/>
        <v>-5.489999999999995</v>
      </c>
      <c r="H96" s="40">
        <f>F96/E96*100</f>
        <v>93.54117647058824</v>
      </c>
      <c r="I96" s="56">
        <f t="shared" si="38"/>
        <v>-430.49</v>
      </c>
      <c r="J96" s="56">
        <f>F96/D96*100</f>
        <v>15.590196078431372</v>
      </c>
      <c r="K96" s="56">
        <f>F96-17.2</f>
        <v>62.31</v>
      </c>
      <c r="L96" s="56">
        <f>F96/17.2*100</f>
        <v>462.2674418604651</v>
      </c>
      <c r="M96" s="40">
        <f t="shared" si="35"/>
        <v>85</v>
      </c>
      <c r="N96" s="40">
        <f t="shared" si="36"/>
        <v>79.51</v>
      </c>
      <c r="O96" s="53">
        <f t="shared" si="39"/>
        <v>-5.489999999999995</v>
      </c>
      <c r="P96" s="56">
        <f>N96/M96*100</f>
        <v>93.54117647058824</v>
      </c>
      <c r="Q96" s="56">
        <f>N96-17.2</f>
        <v>62.31</v>
      </c>
      <c r="R96" s="137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0</v>
      </c>
      <c r="E97" s="41">
        <v>0</v>
      </c>
      <c r="F97" s="57">
        <v>0</v>
      </c>
      <c r="G97" s="49">
        <f t="shared" si="37"/>
        <v>0</v>
      </c>
      <c r="H97" s="40"/>
      <c r="I97" s="56">
        <f t="shared" si="38"/>
        <v>0</v>
      </c>
      <c r="J97" s="56"/>
      <c r="K97" s="56"/>
      <c r="L97" s="56"/>
      <c r="M97" s="40">
        <f t="shared" si="35"/>
        <v>0</v>
      </c>
      <c r="N97" s="40">
        <f t="shared" si="36"/>
        <v>0</v>
      </c>
      <c r="O97" s="53">
        <f t="shared" si="39"/>
        <v>0</v>
      </c>
      <c r="P97" s="56"/>
      <c r="Q97" s="56">
        <f>N97-0</f>
        <v>0</v>
      </c>
      <c r="R97" s="137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7"/>
        <v>0</v>
      </c>
      <c r="H98" s="40" t="e">
        <f>F98/E98*100</f>
        <v>#DIV/0!</v>
      </c>
      <c r="I98" s="56">
        <f t="shared" si="38"/>
        <v>0</v>
      </c>
      <c r="J98" s="56" t="e">
        <f>F98/D98*100</f>
        <v>#DIV/0!</v>
      </c>
      <c r="K98" s="56"/>
      <c r="L98" s="56">
        <f t="shared" si="34"/>
        <v>0</v>
      </c>
      <c r="M98" s="40">
        <f t="shared" si="35"/>
        <v>0</v>
      </c>
      <c r="N98" s="40">
        <f t="shared" si="36"/>
        <v>0</v>
      </c>
      <c r="O98" s="53">
        <f t="shared" si="39"/>
        <v>0</v>
      </c>
      <c r="P98" s="56" t="e">
        <f>N98/M98*100</f>
        <v>#DIV/0!</v>
      </c>
      <c r="Q98" s="56"/>
      <c r="R98" s="137"/>
    </row>
    <row r="99" spans="1:18" s="6" customFormat="1" ht="15.75" customHeight="1">
      <c r="A99" s="8"/>
      <c r="B99" s="14" t="s">
        <v>73</v>
      </c>
      <c r="C99" s="13" t="s">
        <v>99</v>
      </c>
      <c r="D99" s="41">
        <v>1980</v>
      </c>
      <c r="E99" s="41">
        <v>330</v>
      </c>
      <c r="F99" s="57">
        <v>277.38</v>
      </c>
      <c r="G99" s="49">
        <f t="shared" si="37"/>
        <v>-52.620000000000005</v>
      </c>
      <c r="H99" s="40">
        <f>F99/E99*100</f>
        <v>84.05454545454545</v>
      </c>
      <c r="I99" s="56">
        <f t="shared" si="38"/>
        <v>-1702.62</v>
      </c>
      <c r="J99" s="56">
        <f>F99/D99*100</f>
        <v>14.00909090909091</v>
      </c>
      <c r="K99" s="56">
        <f>F99-236.4</f>
        <v>40.97999999999999</v>
      </c>
      <c r="L99" s="56">
        <f>F99/236.5*100</f>
        <v>117.28541226215646</v>
      </c>
      <c r="M99" s="40">
        <f t="shared" si="35"/>
        <v>330</v>
      </c>
      <c r="N99" s="40">
        <f t="shared" si="36"/>
        <v>277.38</v>
      </c>
      <c r="O99" s="53">
        <f t="shared" si="39"/>
        <v>-52.620000000000005</v>
      </c>
      <c r="P99" s="56">
        <f>N99/M99*100</f>
        <v>84.05454545454545</v>
      </c>
      <c r="Q99" s="56">
        <f>N99-236.4</f>
        <v>40.97999999999999</v>
      </c>
      <c r="R99" s="137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7"/>
        <v>0</v>
      </c>
      <c r="H100" s="40" t="e">
        <f>F100/E100*100</f>
        <v>#DIV/0!</v>
      </c>
      <c r="I100" s="56">
        <f t="shared" si="38"/>
        <v>0</v>
      </c>
      <c r="J100" s="56" t="e">
        <f>F100/D100*100</f>
        <v>#DIV/0!</v>
      </c>
      <c r="K100" s="56"/>
      <c r="L100" s="56">
        <f t="shared" si="34"/>
        <v>0</v>
      </c>
      <c r="M100" s="40">
        <f t="shared" si="35"/>
        <v>0</v>
      </c>
      <c r="N100" s="40">
        <f t="shared" si="36"/>
        <v>0</v>
      </c>
      <c r="O100" s="53">
        <f t="shared" si="39"/>
        <v>0</v>
      </c>
      <c r="P100" s="56" t="e">
        <f>F100/M100*100</f>
        <v>#DIV/0!</v>
      </c>
      <c r="Q100" s="56"/>
      <c r="R100" s="137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7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4"/>
        <v>0</v>
      </c>
      <c r="M101" s="40">
        <f t="shared" si="35"/>
        <v>0</v>
      </c>
      <c r="N101" s="40">
        <f t="shared" si="36"/>
        <v>0</v>
      </c>
      <c r="O101" s="53">
        <f t="shared" si="39"/>
        <v>0</v>
      </c>
      <c r="P101" s="56"/>
      <c r="Q101" s="56"/>
      <c r="R101" s="137"/>
    </row>
    <row r="102" spans="1:18" s="6" customFormat="1" ht="31.5">
      <c r="A102" s="8"/>
      <c r="B102" s="76" t="s">
        <v>127</v>
      </c>
      <c r="C102" s="91"/>
      <c r="D102" s="146"/>
      <c r="E102" s="146"/>
      <c r="F102" s="149">
        <v>64.7</v>
      </c>
      <c r="G102" s="146"/>
      <c r="H102" s="148"/>
      <c r="I102" s="147"/>
      <c r="J102" s="147"/>
      <c r="K102" s="147">
        <f>F102-30.6</f>
        <v>34.1</v>
      </c>
      <c r="L102" s="150">
        <f>F102/30.6*100</f>
        <v>211.43790849673204</v>
      </c>
      <c r="M102" s="40">
        <f t="shared" si="35"/>
        <v>0</v>
      </c>
      <c r="N102" s="40">
        <f t="shared" si="36"/>
        <v>64.7</v>
      </c>
      <c r="O102" s="53"/>
      <c r="P102" s="56"/>
      <c r="Q102" s="56">
        <f>N102-30.6</f>
        <v>34.1</v>
      </c>
      <c r="R102" s="137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0</v>
      </c>
      <c r="E103" s="41">
        <v>0</v>
      </c>
      <c r="F103" s="57">
        <v>0</v>
      </c>
      <c r="G103" s="49"/>
      <c r="H103" s="40"/>
      <c r="I103" s="56">
        <f aca="true" t="shared" si="40" ref="I103:I110">F103-D103</f>
        <v>0</v>
      </c>
      <c r="J103" s="56"/>
      <c r="K103" s="56">
        <f>F103-0</f>
        <v>0</v>
      </c>
      <c r="L103" s="56" t="e">
        <f>F103/0*100</f>
        <v>#DIV/0!</v>
      </c>
      <c r="M103" s="40">
        <f t="shared" si="35"/>
        <v>0</v>
      </c>
      <c r="N103" s="40">
        <f t="shared" si="36"/>
        <v>0</v>
      </c>
      <c r="O103" s="53">
        <f aca="true" t="shared" si="41" ref="O103:O109">N103-M103</f>
        <v>0</v>
      </c>
      <c r="P103" s="56"/>
      <c r="Q103" s="56"/>
      <c r="R103" s="137"/>
    </row>
    <row r="104" spans="1:18" s="6" customFormat="1" ht="31.5">
      <c r="A104" s="8"/>
      <c r="B104" s="14" t="s">
        <v>129</v>
      </c>
      <c r="C104" s="66">
        <v>31010200</v>
      </c>
      <c r="D104" s="41">
        <v>6</v>
      </c>
      <c r="E104" s="41">
        <v>1</v>
      </c>
      <c r="F104" s="57">
        <v>2.21</v>
      </c>
      <c r="G104" s="49">
        <f>F104-E104</f>
        <v>1.21</v>
      </c>
      <c r="H104" s="40"/>
      <c r="I104" s="56">
        <f t="shared" si="40"/>
        <v>-3.79</v>
      </c>
      <c r="J104" s="56">
        <f aca="true" t="shared" si="42" ref="J104:J109">F104/D104*100</f>
        <v>36.833333333333336</v>
      </c>
      <c r="K104" s="56">
        <f>F104-0</f>
        <v>2.21</v>
      </c>
      <c r="L104" s="56" t="e">
        <f>F104/0*100</f>
        <v>#DIV/0!</v>
      </c>
      <c r="M104" s="40">
        <f t="shared" si="35"/>
        <v>1</v>
      </c>
      <c r="N104" s="40">
        <f t="shared" si="36"/>
        <v>2.21</v>
      </c>
      <c r="O104" s="53">
        <f t="shared" si="41"/>
        <v>1.21</v>
      </c>
      <c r="P104" s="56"/>
      <c r="Q104" s="56"/>
      <c r="R104" s="137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5"/>
        <v>0</v>
      </c>
      <c r="N105" s="40">
        <f t="shared" si="36"/>
        <v>0</v>
      </c>
      <c r="O105" s="53">
        <f t="shared" si="41"/>
        <v>0</v>
      </c>
      <c r="P105" s="56"/>
      <c r="Q105" s="56"/>
      <c r="R105" s="137"/>
    </row>
    <row r="106" spans="1:18" s="6" customFormat="1" ht="18.75">
      <c r="A106" s="9"/>
      <c r="B106" s="21" t="s">
        <v>109</v>
      </c>
      <c r="C106" s="92"/>
      <c r="D106" s="22">
        <f>D8+D74+D104+D105</f>
        <v>230977.2</v>
      </c>
      <c r="E106" s="22">
        <f>E8+E74+E104+E105</f>
        <v>35262.1</v>
      </c>
      <c r="F106" s="22">
        <f>F8+F74+F104+F105</f>
        <v>34768</v>
      </c>
      <c r="G106" s="50">
        <f>F106-E106</f>
        <v>-494.09999999999854</v>
      </c>
      <c r="H106" s="51">
        <f>F106/E106*100</f>
        <v>98.59877885888815</v>
      </c>
      <c r="I106" s="36">
        <f t="shared" si="40"/>
        <v>-196209.2</v>
      </c>
      <c r="J106" s="36">
        <f t="shared" si="42"/>
        <v>15.052567959088602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35262.1</v>
      </c>
      <c r="N106" s="22">
        <f>N8+N74+N104+N105</f>
        <v>34768</v>
      </c>
      <c r="O106" s="55">
        <f t="shared" si="41"/>
        <v>-494.09999999999854</v>
      </c>
      <c r="P106" s="36">
        <f>N106/M106*100</f>
        <v>98.59877885888815</v>
      </c>
      <c r="Q106" s="36">
        <f>N106-34521.7</f>
        <v>246.3000000000029</v>
      </c>
      <c r="R106" s="138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180730</v>
      </c>
      <c r="E107" s="71">
        <f>E10-E18+E96</f>
        <v>27235</v>
      </c>
      <c r="F107" s="71">
        <f>F10-F18+F96</f>
        <v>26647.62</v>
      </c>
      <c r="G107" s="71">
        <f>G10-G18+G96</f>
        <v>-587.3799999999994</v>
      </c>
      <c r="H107" s="72">
        <f>F107/E107*100</f>
        <v>97.84328988434</v>
      </c>
      <c r="I107" s="52">
        <f t="shared" si="40"/>
        <v>-154082.38</v>
      </c>
      <c r="J107" s="52">
        <f t="shared" si="42"/>
        <v>14.744436452166216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27235</v>
      </c>
      <c r="N107" s="71">
        <f>N10-N18+N96</f>
        <v>26647.62</v>
      </c>
      <c r="O107" s="53">
        <f t="shared" si="41"/>
        <v>-587.380000000001</v>
      </c>
      <c r="P107" s="52">
        <f>N107/M107*100</f>
        <v>97.84328988434</v>
      </c>
      <c r="Q107" s="52">
        <f>N107-26764.7</f>
        <v>-117.08000000000175</v>
      </c>
      <c r="R107" s="139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50247.20000000001</v>
      </c>
      <c r="E108" s="71">
        <f>E106-E107</f>
        <v>8027.0999999999985</v>
      </c>
      <c r="F108" s="71">
        <f>F106-F107</f>
        <v>8120.380000000001</v>
      </c>
      <c r="G108" s="62">
        <f>F108-E108</f>
        <v>93.28000000000247</v>
      </c>
      <c r="H108" s="72">
        <f>F108/E108*100</f>
        <v>101.16206350986039</v>
      </c>
      <c r="I108" s="52">
        <f t="shared" si="40"/>
        <v>-42126.82000000001</v>
      </c>
      <c r="J108" s="52">
        <f t="shared" si="42"/>
        <v>16.16086070467608</v>
      </c>
      <c r="K108" s="52">
        <f>F108-7757</f>
        <v>363.380000000001</v>
      </c>
      <c r="L108" s="52">
        <f>F108/7757*100</f>
        <v>104.68454299342531</v>
      </c>
      <c r="M108" s="71">
        <f>M106-M107</f>
        <v>8027.0999999999985</v>
      </c>
      <c r="N108" s="71">
        <f>N106-N107</f>
        <v>8120.380000000001</v>
      </c>
      <c r="O108" s="53">
        <f t="shared" si="41"/>
        <v>93.28000000000247</v>
      </c>
      <c r="P108" s="52">
        <f>N108/M108*100</f>
        <v>101.16206350986039</v>
      </c>
      <c r="Q108" s="52">
        <f>N108-7757</f>
        <v>363.380000000001</v>
      </c>
      <c r="R108" s="139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0"/>
        <v>-392918.58</v>
      </c>
      <c r="J109" s="52">
        <f t="shared" si="42"/>
        <v>6.351231343230222</v>
      </c>
      <c r="K109" s="52"/>
      <c r="L109" s="52"/>
      <c r="M109" s="122">
        <v>0</v>
      </c>
      <c r="N109" s="71">
        <f>N107</f>
        <v>26647.62</v>
      </c>
      <c r="O109" s="118">
        <f t="shared" si="41"/>
        <v>26647.62</v>
      </c>
      <c r="P109" s="52" t="e">
        <f>N109/M109*100</f>
        <v>#DIV/0!</v>
      </c>
      <c r="Q109" s="52"/>
      <c r="R109" s="139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v>1568.43</v>
      </c>
      <c r="F110" s="87">
        <f>'[1]січень'!$C$29/1000</f>
        <v>1568.431</v>
      </c>
      <c r="G110" s="62">
        <f>F110-E110</f>
        <v>0.0009999999999763531</v>
      </c>
      <c r="H110" s="72"/>
      <c r="I110" s="85">
        <f t="shared" si="40"/>
        <v>-3301.949</v>
      </c>
      <c r="J110" s="52"/>
      <c r="K110" s="52"/>
      <c r="L110" s="52"/>
      <c r="M110" s="40"/>
      <c r="N110" s="71"/>
      <c r="O110" s="86"/>
      <c r="P110" s="52" t="e">
        <f>N110/M110*100</f>
        <v>#DIV/0!</v>
      </c>
      <c r="Q110" s="52"/>
      <c r="R110" s="139"/>
    </row>
    <row r="111" spans="1:18" s="73" customFormat="1" ht="37.5" hidden="1">
      <c r="A111" s="69"/>
      <c r="B111" s="83" t="s">
        <v>183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9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40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3" ref="G113:G125">F113-E113</f>
        <v>0.18</v>
      </c>
      <c r="H113" s="40"/>
      <c r="I113" s="60">
        <f aca="true" t="shared" si="44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5" ref="M113:N115">E113</f>
        <v>0</v>
      </c>
      <c r="N113" s="40">
        <f t="shared" si="45"/>
        <v>0.18</v>
      </c>
      <c r="O113" s="53"/>
      <c r="P113" s="60"/>
      <c r="Q113" s="60">
        <f>N113-0.09</f>
        <v>0.09</v>
      </c>
      <c r="R113" s="140"/>
    </row>
    <row r="114" spans="2:18" ht="15.75">
      <c r="B114" s="30" t="s">
        <v>131</v>
      </c>
      <c r="C114" s="106">
        <v>12030000</v>
      </c>
      <c r="D114" s="33">
        <v>3378.16</v>
      </c>
      <c r="E114" s="33">
        <v>563.03</v>
      </c>
      <c r="F114" s="32">
        <v>68.14</v>
      </c>
      <c r="G114" s="49">
        <f t="shared" si="43"/>
        <v>-494.89</v>
      </c>
      <c r="H114" s="40">
        <f aca="true" t="shared" si="46" ref="H114:H125">F114/E114*100</f>
        <v>12.102374651439533</v>
      </c>
      <c r="I114" s="60">
        <f t="shared" si="44"/>
        <v>-3310.02</v>
      </c>
      <c r="J114" s="60">
        <f aca="true" t="shared" si="47" ref="J114:J120">F114/D114*100</f>
        <v>2.0170743836881617</v>
      </c>
      <c r="K114" s="60">
        <f>F114-246.7</f>
        <v>-178.56</v>
      </c>
      <c r="L114" s="60">
        <f>F114/246.7*100</f>
        <v>27.62059181191731</v>
      </c>
      <c r="M114" s="40">
        <f t="shared" si="45"/>
        <v>563.03</v>
      </c>
      <c r="N114" s="40">
        <f t="shared" si="45"/>
        <v>68.14</v>
      </c>
      <c r="O114" s="53">
        <f aca="true" t="shared" si="48" ref="O114:O125">N114-M114</f>
        <v>-494.89</v>
      </c>
      <c r="P114" s="60">
        <f>N114/M114*100</f>
        <v>12.102374651439533</v>
      </c>
      <c r="Q114" s="60">
        <f>N114-246.7</f>
        <v>-178.56</v>
      </c>
      <c r="R114" s="140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150</v>
      </c>
      <c r="E115" s="33">
        <v>25</v>
      </c>
      <c r="F115" s="32">
        <v>24.53</v>
      </c>
      <c r="G115" s="49">
        <f t="shared" si="43"/>
        <v>-0.46999999999999886</v>
      </c>
      <c r="H115" s="40">
        <f t="shared" si="46"/>
        <v>98.12</v>
      </c>
      <c r="I115" s="60">
        <f t="shared" si="44"/>
        <v>-125.47</v>
      </c>
      <c r="J115" s="60">
        <f t="shared" si="47"/>
        <v>16.353333333333335</v>
      </c>
      <c r="K115" s="60">
        <f>F115-22.5</f>
        <v>2.030000000000001</v>
      </c>
      <c r="L115" s="60">
        <f>F115/22.5*100</f>
        <v>109.02222222222223</v>
      </c>
      <c r="M115" s="40">
        <f t="shared" si="45"/>
        <v>25</v>
      </c>
      <c r="N115" s="40">
        <f t="shared" si="45"/>
        <v>24.53</v>
      </c>
      <c r="O115" s="53">
        <f t="shared" si="48"/>
        <v>-0.46999999999999886</v>
      </c>
      <c r="P115" s="60">
        <f>N115/M115*100</f>
        <v>98.12</v>
      </c>
      <c r="Q115" s="60">
        <f>N115-22.5</f>
        <v>2.030000000000001</v>
      </c>
      <c r="R115" s="140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3528.16</v>
      </c>
      <c r="E116" s="38">
        <f>E114+E115+E113</f>
        <v>588.03</v>
      </c>
      <c r="F116" s="38">
        <f>SUM(F113:F115)</f>
        <v>92.85000000000001</v>
      </c>
      <c r="G116" s="62">
        <f t="shared" si="43"/>
        <v>-495.17999999999995</v>
      </c>
      <c r="H116" s="72">
        <f t="shared" si="46"/>
        <v>15.790010713739097</v>
      </c>
      <c r="I116" s="61">
        <f t="shared" si="44"/>
        <v>-3435.31</v>
      </c>
      <c r="J116" s="61">
        <f t="shared" si="47"/>
        <v>2.631683370368691</v>
      </c>
      <c r="K116" s="61">
        <f>F116-270.1</f>
        <v>-177.25</v>
      </c>
      <c r="L116" s="61">
        <f>F116/270.1*100</f>
        <v>34.3761569788967</v>
      </c>
      <c r="M116" s="62">
        <f>M114+M115+M113</f>
        <v>588.03</v>
      </c>
      <c r="N116" s="38">
        <f>SUM(N113:N115)</f>
        <v>92.85000000000001</v>
      </c>
      <c r="O116" s="61">
        <f t="shared" si="48"/>
        <v>-495.17999999999995</v>
      </c>
      <c r="P116" s="61">
        <f>N116/M116*100</f>
        <v>15.790010713739097</v>
      </c>
      <c r="Q116" s="61">
        <f>N116-270.1</f>
        <v>-177.25</v>
      </c>
      <c r="R116" s="141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3"/>
        <v>0</v>
      </c>
      <c r="H117" s="40" t="e">
        <f t="shared" si="46"/>
        <v>#DIV/0!</v>
      </c>
      <c r="I117" s="60">
        <f t="shared" si="44"/>
        <v>0</v>
      </c>
      <c r="J117" s="60" t="e">
        <f t="shared" si="47"/>
        <v>#DIV/0!</v>
      </c>
      <c r="K117" s="60"/>
      <c r="L117" s="60"/>
      <c r="M117" s="41">
        <v>0</v>
      </c>
      <c r="N117" s="41">
        <f aca="true" t="shared" si="49" ref="N117:N122">F117</f>
        <v>0</v>
      </c>
      <c r="O117" s="53">
        <f t="shared" si="48"/>
        <v>0</v>
      </c>
      <c r="P117" s="60" t="e">
        <f>N117/M117*100</f>
        <v>#DIV/0!</v>
      </c>
      <c r="Q117" s="60"/>
      <c r="R117" s="140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3"/>
        <v>54.32</v>
      </c>
      <c r="H118" s="40" t="e">
        <f t="shared" si="46"/>
        <v>#DIV/0!</v>
      </c>
      <c r="I118" s="60">
        <f t="shared" si="44"/>
        <v>54.32</v>
      </c>
      <c r="J118" s="60" t="e">
        <f t="shared" si="47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49"/>
        <v>54.32</v>
      </c>
      <c r="O118" s="53" t="s">
        <v>166</v>
      </c>
      <c r="P118" s="60"/>
      <c r="Q118" s="60">
        <f>N118-0.2</f>
        <v>54.12</v>
      </c>
      <c r="R118" s="140">
        <f>N118/0.2</f>
        <v>271.59999999999997</v>
      </c>
    </row>
    <row r="119" spans="2:18" s="48" customFormat="1" ht="15.75">
      <c r="B119" s="15" t="s">
        <v>139</v>
      </c>
      <c r="C119" s="108">
        <v>18050000</v>
      </c>
      <c r="D119" s="33">
        <v>0</v>
      </c>
      <c r="E119" s="33">
        <v>0</v>
      </c>
      <c r="F119" s="33">
        <v>7479.86</v>
      </c>
      <c r="G119" s="49">
        <f t="shared" si="43"/>
        <v>7479.86</v>
      </c>
      <c r="H119" s="40" t="e">
        <f t="shared" si="46"/>
        <v>#DIV/0!</v>
      </c>
      <c r="I119" s="53">
        <f t="shared" si="44"/>
        <v>7479.86</v>
      </c>
      <c r="J119" s="60" t="e">
        <f t="shared" si="47"/>
        <v>#DIV/0!</v>
      </c>
      <c r="K119" s="60">
        <f>F119-6357.6</f>
        <v>1122.2599999999993</v>
      </c>
      <c r="L119" s="60">
        <f>F119/6357.6*100</f>
        <v>117.6522587139801</v>
      </c>
      <c r="M119" s="40">
        <f>E119</f>
        <v>0</v>
      </c>
      <c r="N119" s="40">
        <f t="shared" si="49"/>
        <v>7479.86</v>
      </c>
      <c r="O119" s="53">
        <f t="shared" si="48"/>
        <v>7479.86</v>
      </c>
      <c r="P119" s="60" t="e">
        <f aca="true" t="shared" si="50" ref="P119:P124">N119/M119*100</f>
        <v>#DIV/0!</v>
      </c>
      <c r="Q119" s="60">
        <f>N119-6357.6</f>
        <v>1122.2599999999993</v>
      </c>
      <c r="R119" s="140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3"/>
        <v>0.04</v>
      </c>
      <c r="H120" s="40" t="e">
        <f t="shared" si="46"/>
        <v>#DIV/0!</v>
      </c>
      <c r="I120" s="60">
        <f t="shared" si="44"/>
        <v>0.04</v>
      </c>
      <c r="J120" s="60" t="e">
        <f t="shared" si="47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49"/>
        <v>0.04</v>
      </c>
      <c r="O120" s="53">
        <f t="shared" si="48"/>
        <v>0.04</v>
      </c>
      <c r="P120" s="60" t="e">
        <f t="shared" si="50"/>
        <v>#DIV/0!</v>
      </c>
      <c r="Q120" s="60">
        <f>N120-230.3</f>
        <v>-230.26000000000002</v>
      </c>
      <c r="R120" s="140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3"/>
        <v>450.01</v>
      </c>
      <c r="H121" s="40" t="e">
        <f t="shared" si="46"/>
        <v>#DIV/0!</v>
      </c>
      <c r="I121" s="60">
        <f t="shared" si="44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49"/>
        <v>450.01</v>
      </c>
      <c r="O121" s="53">
        <f t="shared" si="48"/>
        <v>450.01</v>
      </c>
      <c r="P121" s="60" t="e">
        <f t="shared" si="50"/>
        <v>#DIV/0!</v>
      </c>
      <c r="Q121" s="60">
        <f>N121-238.5</f>
        <v>211.51</v>
      </c>
      <c r="R121" s="140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3"/>
        <v>1.05</v>
      </c>
      <c r="H122" s="40" t="e">
        <f t="shared" si="46"/>
        <v>#DIV/0!</v>
      </c>
      <c r="I122" s="60">
        <f t="shared" si="44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49"/>
        <v>1.05</v>
      </c>
      <c r="O122" s="53">
        <f t="shared" si="48"/>
        <v>1.05</v>
      </c>
      <c r="P122" s="60" t="e">
        <f t="shared" si="50"/>
        <v>#DIV/0!</v>
      </c>
      <c r="Q122" s="60">
        <f>N122-14.6</f>
        <v>-13.549999999999999</v>
      </c>
      <c r="R122" s="140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0</v>
      </c>
      <c r="E123" s="38">
        <f>E119+E120+E121+E122+E118</f>
        <v>0</v>
      </c>
      <c r="F123" s="38">
        <f>F119+F120+F121+F122+F118</f>
        <v>7985.28</v>
      </c>
      <c r="G123" s="62">
        <f t="shared" si="43"/>
        <v>7985.28</v>
      </c>
      <c r="H123" s="72" t="e">
        <f t="shared" si="46"/>
        <v>#DIV/0!</v>
      </c>
      <c r="I123" s="61">
        <f t="shared" si="44"/>
        <v>7985.28</v>
      </c>
      <c r="J123" s="61" t="e">
        <f>F123/D123*100</f>
        <v>#DIV/0!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0</v>
      </c>
      <c r="N123" s="62">
        <f>N119+N120+N121+N122+N118</f>
        <v>7985.28</v>
      </c>
      <c r="O123" s="61">
        <f t="shared" si="48"/>
        <v>7985.28</v>
      </c>
      <c r="P123" s="61" t="e">
        <f t="shared" si="50"/>
        <v>#DIV/0!</v>
      </c>
      <c r="Q123" s="61">
        <f>N123-6841.1</f>
        <v>1144.1799999999994</v>
      </c>
      <c r="R123" s="141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0</v>
      </c>
      <c r="E124" s="33">
        <v>0</v>
      </c>
      <c r="F124" s="33">
        <v>0.16</v>
      </c>
      <c r="G124" s="49">
        <f t="shared" si="43"/>
        <v>0.16</v>
      </c>
      <c r="H124" s="40" t="e">
        <f t="shared" si="46"/>
        <v>#DIV/0!</v>
      </c>
      <c r="I124" s="60">
        <f t="shared" si="44"/>
        <v>0.16</v>
      </c>
      <c r="J124" s="60" t="e">
        <f>F124/D124*100</f>
        <v>#DIV/0!</v>
      </c>
      <c r="K124" s="60">
        <f>F124-0.3</f>
        <v>-0.13999999999999999</v>
      </c>
      <c r="L124" s="60">
        <f>F124/0.3*100</f>
        <v>53.333333333333336</v>
      </c>
      <c r="M124" s="40">
        <f aca="true" t="shared" si="51" ref="M124:N128">E124</f>
        <v>0</v>
      </c>
      <c r="N124" s="40">
        <f t="shared" si="51"/>
        <v>0.16</v>
      </c>
      <c r="O124" s="53">
        <f t="shared" si="48"/>
        <v>0.16</v>
      </c>
      <c r="P124" s="60" t="e">
        <f t="shared" si="50"/>
        <v>#DIV/0!</v>
      </c>
      <c r="Q124" s="60">
        <f>N124-0.3</f>
        <v>-0.13999999999999999</v>
      </c>
      <c r="R124" s="140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3"/>
        <v>0</v>
      </c>
      <c r="H125" s="40" t="e">
        <f t="shared" si="46"/>
        <v>#DIV/0!</v>
      </c>
      <c r="I125" s="63"/>
      <c r="J125" s="63"/>
      <c r="K125" s="63"/>
      <c r="L125" s="60">
        <f>F125</f>
        <v>0</v>
      </c>
      <c r="M125" s="40">
        <f t="shared" si="51"/>
        <v>0</v>
      </c>
      <c r="N125" s="40">
        <f t="shared" si="51"/>
        <v>0</v>
      </c>
      <c r="O125" s="53">
        <f t="shared" si="48"/>
        <v>0</v>
      </c>
      <c r="P125" s="63"/>
      <c r="Q125" s="63"/>
      <c r="R125" s="142"/>
    </row>
    <row r="126" spans="2:18" ht="15.75">
      <c r="B126" s="30" t="s">
        <v>146</v>
      </c>
      <c r="C126" s="106">
        <v>24061600</v>
      </c>
      <c r="D126" s="33">
        <v>0</v>
      </c>
      <c r="E126" s="33">
        <v>0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1"/>
        <v>0</v>
      </c>
      <c r="N126" s="40">
        <f t="shared" si="51"/>
        <v>8.76</v>
      </c>
      <c r="O126" s="53"/>
      <c r="P126" s="63"/>
      <c r="Q126" s="63">
        <f>N126-0</f>
        <v>8.76</v>
      </c>
      <c r="R126" s="142" t="e">
        <f>N126/0</f>
        <v>#DIV/0!</v>
      </c>
    </row>
    <row r="127" spans="2:18" ht="15.75">
      <c r="B127" s="30" t="s">
        <v>132</v>
      </c>
      <c r="C127" s="106">
        <v>19010000</v>
      </c>
      <c r="D127" s="33">
        <v>4380.58</v>
      </c>
      <c r="E127" s="33">
        <v>730.1</v>
      </c>
      <c r="F127" s="33">
        <v>17.67</v>
      </c>
      <c r="G127" s="49">
        <f aca="true" t="shared" si="52" ref="G127:G134">F127-E127</f>
        <v>-712.4300000000001</v>
      </c>
      <c r="H127" s="40">
        <f>F127/E127*100</f>
        <v>2.4202164087111355</v>
      </c>
      <c r="I127" s="60">
        <f aca="true" t="shared" si="53" ref="I127:I134">F127-D127</f>
        <v>-4362.91</v>
      </c>
      <c r="J127" s="60">
        <f>F127/D127*100</f>
        <v>0.40337124307740074</v>
      </c>
      <c r="K127" s="60">
        <f>F127-84.2</f>
        <v>-66.53</v>
      </c>
      <c r="L127" s="60">
        <f>F127/84.2*100</f>
        <v>20.985748218527316</v>
      </c>
      <c r="M127" s="40">
        <f t="shared" si="51"/>
        <v>730.1</v>
      </c>
      <c r="N127" s="40">
        <f t="shared" si="51"/>
        <v>17.67</v>
      </c>
      <c r="O127" s="53">
        <f aca="true" t="shared" si="54" ref="O127:O134">N127-M127</f>
        <v>-712.4300000000001</v>
      </c>
      <c r="P127" s="60">
        <f>N127/M127*100</f>
        <v>2.4202164087111355</v>
      </c>
      <c r="Q127" s="60">
        <f>N127-84.2</f>
        <v>-66.53</v>
      </c>
      <c r="R127" s="140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2"/>
        <v>-0.21</v>
      </c>
      <c r="H128" s="40"/>
      <c r="I128" s="60">
        <f t="shared" si="53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1"/>
        <v>0</v>
      </c>
      <c r="N128" s="40">
        <f t="shared" si="51"/>
        <v>-0.21</v>
      </c>
      <c r="O128" s="53">
        <f t="shared" si="54"/>
        <v>-0.21</v>
      </c>
      <c r="P128" s="60"/>
      <c r="Q128" s="60">
        <f>N128-0.2</f>
        <v>-0.41000000000000003</v>
      </c>
      <c r="R128" s="140"/>
    </row>
    <row r="129" spans="2:18" ht="31.5">
      <c r="B129" s="37" t="s">
        <v>134</v>
      </c>
      <c r="C129" s="106"/>
      <c r="D129" s="38">
        <f>D127+D124+D128+D126</f>
        <v>4380.58</v>
      </c>
      <c r="E129" s="38">
        <f>E127+E124+E128+E126</f>
        <v>730.1</v>
      </c>
      <c r="F129" s="38">
        <f>F127+F124+F128+F126</f>
        <v>26.380000000000003</v>
      </c>
      <c r="G129" s="62">
        <f t="shared" si="52"/>
        <v>-703.72</v>
      </c>
      <c r="H129" s="72">
        <f>F129/E129*100</f>
        <v>3.6132036707300372</v>
      </c>
      <c r="I129" s="61">
        <f t="shared" si="53"/>
        <v>-4354.2</v>
      </c>
      <c r="J129" s="61">
        <f>F129/D129*100</f>
        <v>0.6022033611987454</v>
      </c>
      <c r="K129" s="61">
        <f>F129-84.8</f>
        <v>-58.419999999999995</v>
      </c>
      <c r="L129" s="61">
        <f>G129/84.8*100</f>
        <v>-829.8584905660379</v>
      </c>
      <c r="M129" s="62">
        <f>M124+M127+M128+M126</f>
        <v>730.1</v>
      </c>
      <c r="N129" s="62">
        <f>N124+N127+N128+N126</f>
        <v>26.380000000000003</v>
      </c>
      <c r="O129" s="61">
        <f t="shared" si="54"/>
        <v>-703.72</v>
      </c>
      <c r="P129" s="61">
        <f>N129/M129*100</f>
        <v>3.6132036707300372</v>
      </c>
      <c r="Q129" s="61">
        <f>N129-84.8</f>
        <v>-58.419999999999995</v>
      </c>
      <c r="R129" s="139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0</v>
      </c>
      <c r="E130" s="33">
        <v>0</v>
      </c>
      <c r="F130" s="33">
        <v>0.45</v>
      </c>
      <c r="G130" s="49">
        <f>F130-E130</f>
        <v>0.45</v>
      </c>
      <c r="H130" s="40" t="e">
        <f>F130/E130*100</f>
        <v>#DIV/0!</v>
      </c>
      <c r="I130" s="60">
        <f>F130-D130</f>
        <v>0.45</v>
      </c>
      <c r="J130" s="60" t="e">
        <f>F130/D130*100</f>
        <v>#DIV/0!</v>
      </c>
      <c r="K130" s="60">
        <f>F130-0</f>
        <v>0.45</v>
      </c>
      <c r="L130" s="60">
        <f>F130/34*100</f>
        <v>1.3235294117647058</v>
      </c>
      <c r="M130" s="40">
        <f aca="true" t="shared" si="55" ref="M130:N132">E130</f>
        <v>0</v>
      </c>
      <c r="N130" s="40">
        <f t="shared" si="55"/>
        <v>0.45</v>
      </c>
      <c r="O130" s="53">
        <f>N130-M130</f>
        <v>0.45</v>
      </c>
      <c r="P130" s="60" t="e">
        <f>N130/M130*100</f>
        <v>#DIV/0!</v>
      </c>
      <c r="Q130" s="60">
        <f>N130-0.8</f>
        <v>-0.35000000000000003</v>
      </c>
      <c r="R130" s="140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1812</v>
      </c>
      <c r="E131" s="33">
        <v>302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5"/>
        <v>302</v>
      </c>
      <c r="N131" s="40">
        <f t="shared" si="55"/>
        <v>0</v>
      </c>
      <c r="O131" s="53"/>
      <c r="P131" s="60"/>
      <c r="Q131" s="60">
        <f>N131-0</f>
        <v>0</v>
      </c>
      <c r="R131" s="140"/>
    </row>
    <row r="132" spans="2:18" ht="31.5">
      <c r="B132" s="30" t="s">
        <v>113</v>
      </c>
      <c r="C132" s="106">
        <v>50110000</v>
      </c>
      <c r="D132" s="33">
        <v>55.43</v>
      </c>
      <c r="E132" s="33">
        <v>9.24</v>
      </c>
      <c r="F132" s="33">
        <v>0</v>
      </c>
      <c r="G132" s="49">
        <f t="shared" si="52"/>
        <v>-9.24</v>
      </c>
      <c r="H132" s="40">
        <f>F132/E132*100</f>
        <v>0</v>
      </c>
      <c r="I132" s="60">
        <f t="shared" si="53"/>
        <v>-55.43</v>
      </c>
      <c r="J132" s="60">
        <f>F132/D132*100</f>
        <v>0</v>
      </c>
      <c r="K132" s="60"/>
      <c r="L132" s="60">
        <f>F132/65.9*100</f>
        <v>0</v>
      </c>
      <c r="M132" s="40">
        <f t="shared" si="55"/>
        <v>9.24</v>
      </c>
      <c r="N132" s="40">
        <f t="shared" si="55"/>
        <v>0</v>
      </c>
      <c r="O132" s="53">
        <f t="shared" si="54"/>
        <v>-9.24</v>
      </c>
      <c r="P132" s="60"/>
      <c r="Q132" s="60">
        <f>N132-(-60.1)</f>
        <v>60.1</v>
      </c>
      <c r="R132" s="140"/>
    </row>
    <row r="133" spans="2:18" ht="23.25" customHeight="1">
      <c r="B133" s="21" t="s">
        <v>114</v>
      </c>
      <c r="C133" s="96"/>
      <c r="D133" s="31">
        <f>D116+D130+D123+D129+D132+D131</f>
        <v>9776.17</v>
      </c>
      <c r="E133" s="31">
        <f>E116+E130+E123+E129+E132+E131</f>
        <v>1629.3700000000001</v>
      </c>
      <c r="F133" s="31">
        <f>F116+F130+F123+F129+F132+F131</f>
        <v>8104.96</v>
      </c>
      <c r="G133" s="50">
        <f t="shared" si="52"/>
        <v>6475.59</v>
      </c>
      <c r="H133" s="51">
        <f>F133/E133*100</f>
        <v>497.4290676764639</v>
      </c>
      <c r="I133" s="36">
        <f t="shared" si="53"/>
        <v>-1671.21</v>
      </c>
      <c r="J133" s="36">
        <f>F133/D133*100</f>
        <v>82.90526862769366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1629.3700000000001</v>
      </c>
      <c r="N133" s="31">
        <f>N116+N130+N123+N129+N132+N131</f>
        <v>8104.96</v>
      </c>
      <c r="O133" s="36">
        <f t="shared" si="54"/>
        <v>6475.59</v>
      </c>
      <c r="P133" s="36">
        <f>N133/M133*100</f>
        <v>497.4290676764639</v>
      </c>
      <c r="Q133" s="36">
        <f>N133-7196.4</f>
        <v>908.5600000000004</v>
      </c>
      <c r="R133" s="138">
        <f>N133/7196.4</f>
        <v>1.126252014896337</v>
      </c>
    </row>
    <row r="134" spans="2:18" ht="18.75">
      <c r="B134" s="28" t="s">
        <v>115</v>
      </c>
      <c r="C134" s="96"/>
      <c r="D134" s="31">
        <f>D106+D133</f>
        <v>240753.37000000002</v>
      </c>
      <c r="E134" s="31">
        <f>E106+E133</f>
        <v>36891.47</v>
      </c>
      <c r="F134" s="31">
        <f>F106+F133</f>
        <v>42872.96</v>
      </c>
      <c r="G134" s="50">
        <f t="shared" si="52"/>
        <v>5981.489999999998</v>
      </c>
      <c r="H134" s="51">
        <f>F134/E134*100</f>
        <v>116.21374805612245</v>
      </c>
      <c r="I134" s="36">
        <f t="shared" si="53"/>
        <v>-197880.41000000003</v>
      </c>
      <c r="J134" s="36">
        <f>F134/D134*100</f>
        <v>17.807833801038793</v>
      </c>
      <c r="K134" s="36">
        <f>F134-41718.2</f>
        <v>1154.760000000002</v>
      </c>
      <c r="L134" s="36">
        <f>F134/41718.2*100</f>
        <v>102.76800053693593</v>
      </c>
      <c r="M134" s="22">
        <f>M106+M133</f>
        <v>36891.47</v>
      </c>
      <c r="N134" s="22">
        <f>N106+N133</f>
        <v>42872.96</v>
      </c>
      <c r="O134" s="36">
        <f t="shared" si="54"/>
        <v>5981.489999999998</v>
      </c>
      <c r="P134" s="36">
        <f>N134/M134*100</f>
        <v>116.21374805612245</v>
      </c>
      <c r="Q134" s="36">
        <f>N134-41718.2</f>
        <v>1154.760000000002</v>
      </c>
      <c r="R134" s="138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76"/>
      <c r="H137" s="176"/>
      <c r="I137" s="176"/>
      <c r="J137" s="176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77"/>
      <c r="O138" s="177"/>
    </row>
    <row r="139" spans="3:15" ht="15.75">
      <c r="C139" s="120">
        <v>41669</v>
      </c>
      <c r="D139" s="39">
        <v>4752.2</v>
      </c>
      <c r="F139" s="4" t="s">
        <v>166</v>
      </c>
      <c r="G139" s="178" t="s">
        <v>151</v>
      </c>
      <c r="H139" s="178"/>
      <c r="I139" s="115">
        <v>13825.22</v>
      </c>
      <c r="J139" s="179" t="s">
        <v>161</v>
      </c>
      <c r="K139" s="179"/>
      <c r="L139" s="179"/>
      <c r="M139" s="179"/>
      <c r="N139" s="177"/>
      <c r="O139" s="177"/>
    </row>
    <row r="140" spans="3:15" ht="15.75">
      <c r="C140" s="120">
        <v>41668</v>
      </c>
      <c r="D140" s="39">
        <v>1984.7</v>
      </c>
      <c r="G140" s="184" t="s">
        <v>155</v>
      </c>
      <c r="H140" s="184"/>
      <c r="I140" s="112">
        <v>0</v>
      </c>
      <c r="J140" s="185" t="s">
        <v>162</v>
      </c>
      <c r="K140" s="185"/>
      <c r="L140" s="185"/>
      <c r="M140" s="185"/>
      <c r="N140" s="177"/>
      <c r="O140" s="177"/>
    </row>
    <row r="141" spans="7:13" ht="15.75" customHeight="1">
      <c r="G141" s="178" t="s">
        <v>148</v>
      </c>
      <c r="H141" s="178"/>
      <c r="I141" s="112">
        <v>0</v>
      </c>
      <c r="J141" s="179" t="s">
        <v>163</v>
      </c>
      <c r="K141" s="179"/>
      <c r="L141" s="179"/>
      <c r="M141" s="179"/>
    </row>
    <row r="142" spans="2:13" ht="18.75" customHeight="1">
      <c r="B142" s="186" t="s">
        <v>160</v>
      </c>
      <c r="C142" s="187"/>
      <c r="D142" s="117">
        <v>111410.62</v>
      </c>
      <c r="E142" s="80"/>
      <c r="F142" s="100" t="s">
        <v>147</v>
      </c>
      <c r="G142" s="178" t="s">
        <v>149</v>
      </c>
      <c r="H142" s="178"/>
      <c r="I142" s="116">
        <v>97585.4</v>
      </c>
      <c r="J142" s="179" t="s">
        <v>164</v>
      </c>
      <c r="K142" s="179"/>
      <c r="L142" s="179"/>
      <c r="M142" s="179"/>
    </row>
    <row r="143" spans="7:12" ht="9.75" customHeight="1">
      <c r="G143" s="188"/>
      <c r="H143" s="188"/>
      <c r="I143" s="98"/>
      <c r="J143" s="99"/>
      <c r="K143" s="99"/>
      <c r="L143" s="99"/>
    </row>
    <row r="144" spans="2:12" ht="22.5" customHeight="1">
      <c r="B144" s="189" t="s">
        <v>169</v>
      </c>
      <c r="C144" s="190"/>
      <c r="D144" s="119">
        <v>0</v>
      </c>
      <c r="E144" s="77" t="s">
        <v>104</v>
      </c>
      <c r="G144" s="188"/>
      <c r="H144" s="188"/>
      <c r="I144" s="98"/>
      <c r="J144" s="99"/>
      <c r="K144" s="99"/>
      <c r="L144" s="99"/>
    </row>
    <row r="145" spans="4:15" ht="15.75">
      <c r="D145" s="114"/>
      <c r="N145" s="188"/>
      <c r="O145" s="188"/>
    </row>
    <row r="146" spans="4:15" ht="15.75">
      <c r="D146" s="113"/>
      <c r="I146" s="39"/>
      <c r="N146" s="191"/>
      <c r="O146" s="191"/>
    </row>
    <row r="147" spans="14:15" ht="15.75">
      <c r="N147" s="188"/>
      <c r="O147" s="188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P3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2014-02-27T14:20:23Z</cp:lastPrinted>
  <dcterms:created xsi:type="dcterms:W3CDTF">2003-07-28T11:27:56Z</dcterms:created>
  <dcterms:modified xsi:type="dcterms:W3CDTF">2014-02-27T14:33:26Z</dcterms:modified>
  <cp:category/>
  <cp:version/>
  <cp:contentType/>
  <cp:contentStatus/>
</cp:coreProperties>
</file>